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8400" tabRatio="951" activeTab="0"/>
  </bookViews>
  <sheets>
    <sheet name="тарифы 13" sheetId="1" r:id="rId1"/>
    <sheet name="тарифы 12" sheetId="2" r:id="rId2"/>
    <sheet name="Лист1" sheetId="3" r:id="rId3"/>
    <sheet name="Лист2" sheetId="4" r:id="rId4"/>
    <sheet name="ремонт" sheetId="5" r:id="rId5"/>
    <sheet name="2010" sheetId="6" r:id="rId6"/>
    <sheet name="ремонт (3)" sheetId="7" r:id="rId7"/>
    <sheet name="тарифы 08" sheetId="8" r:id="rId8"/>
    <sheet name="тарифы 08 (2)" sheetId="9" r:id="rId9"/>
    <sheet name="тарифы 11" sheetId="10" r:id="rId10"/>
    <sheet name="лист3" sheetId="11" r:id="rId11"/>
    <sheet name="лист3 (2)" sheetId="12" r:id="rId12"/>
  </sheets>
  <definedNames/>
  <calcPr fullCalcOnLoad="1"/>
</workbook>
</file>

<file path=xl/comments12.xml><?xml version="1.0" encoding="utf-8"?>
<comments xmlns="http://schemas.openxmlformats.org/spreadsheetml/2006/main">
  <authors>
    <author>Admin</author>
  </authors>
  <commentList>
    <comment ref="F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уточнить
</t>
        </r>
      </text>
    </comment>
    <comment ref="F10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уточнить
</t>
        </r>
      </text>
    </comment>
  </commentList>
</comments>
</file>

<file path=xl/sharedStrings.xml><?xml version="1.0" encoding="utf-8"?>
<sst xmlns="http://schemas.openxmlformats.org/spreadsheetml/2006/main" count="1263" uniqueCount="509">
  <si>
    <t>Экономист</t>
  </si>
  <si>
    <t xml:space="preserve">              С.И.Вокуева</t>
  </si>
  <si>
    <t>Электроэнергия</t>
  </si>
  <si>
    <t>Теплоэнергия</t>
  </si>
  <si>
    <t>С.И.Вокуева</t>
  </si>
  <si>
    <t>-</t>
  </si>
  <si>
    <t xml:space="preserve"> </t>
  </si>
  <si>
    <t>Водовод</t>
  </si>
  <si>
    <t>АТХ</t>
  </si>
  <si>
    <t>УГРЦ</t>
  </si>
  <si>
    <t>для населения</t>
  </si>
  <si>
    <t>Водоотведение</t>
  </si>
  <si>
    <t>Содержание и ремонт</t>
  </si>
  <si>
    <t>жилого фонда</t>
  </si>
  <si>
    <t>Наем</t>
  </si>
  <si>
    <t>ИТОГО:</t>
  </si>
  <si>
    <t>Холодная вода</t>
  </si>
  <si>
    <t>Горячая вода</t>
  </si>
  <si>
    <t>тыс.руб.</t>
  </si>
  <si>
    <t>от Вокуевой С.И.</t>
  </si>
  <si>
    <t>З А Я В Л Е Н И Е</t>
  </si>
  <si>
    <t>Итого:</t>
  </si>
  <si>
    <t>1 шт</t>
  </si>
  <si>
    <t>Жилищный фонд</t>
  </si>
  <si>
    <t>Наименование</t>
  </si>
  <si>
    <t>Кол-во</t>
  </si>
  <si>
    <t>Примечание</t>
  </si>
  <si>
    <t>ПЛАН</t>
  </si>
  <si>
    <t>(принято)</t>
  </si>
  <si>
    <t>(заявлено)</t>
  </si>
  <si>
    <t xml:space="preserve"> (в том числе жил.фонд)</t>
  </si>
  <si>
    <t>Закупка зап.частей к автогрейдеру ДЗ-98</t>
  </si>
  <si>
    <t>Закупка шнекороторной установки</t>
  </si>
  <si>
    <t>Электроэнергия, в т.ч.</t>
  </si>
  <si>
    <t>Амортизация</t>
  </si>
  <si>
    <t>Ремонт</t>
  </si>
  <si>
    <t>Прибыль</t>
  </si>
  <si>
    <t>Вид тарифа</t>
  </si>
  <si>
    <t>Тепловая энергия, в т.ч.</t>
  </si>
  <si>
    <t>Перечень мероприятий</t>
  </si>
  <si>
    <t>Остаток средств</t>
  </si>
  <si>
    <t>По данным</t>
  </si>
  <si>
    <t>предприятия</t>
  </si>
  <si>
    <t>ремонт ЛЭП (6кВ) и (0,38кВ)</t>
  </si>
  <si>
    <t>закупка и монтаж ДГР-500</t>
  </si>
  <si>
    <t>Водоснабжение: в т.ч.</t>
  </si>
  <si>
    <t>План мероприятий и объемы финансирования на объектах МУП "Амдермасервис"</t>
  </si>
  <si>
    <t xml:space="preserve">Утверждено в </t>
  </si>
  <si>
    <t>тарифах</t>
  </si>
  <si>
    <t>(УГРЦТ НАО)</t>
  </si>
  <si>
    <t>ИТОГО (по предприятию):</t>
  </si>
  <si>
    <t>Экономист                                                                  С.И.Вокуева</t>
  </si>
  <si>
    <t>без НДС</t>
  </si>
  <si>
    <t>с НДС</t>
  </si>
  <si>
    <t>(с чел.за 3,8 куб.м.)</t>
  </si>
  <si>
    <t>НАСЕЛЕНИЕ</t>
  </si>
  <si>
    <t>ВИД ТАРИФА</t>
  </si>
  <si>
    <t>руб./кв.м.</t>
  </si>
  <si>
    <t>руб./Гкал</t>
  </si>
  <si>
    <t>(с чел.за 1,52 куб.м.)</t>
  </si>
  <si>
    <t>для прочих потребителей</t>
  </si>
  <si>
    <t>руб./куб.м</t>
  </si>
  <si>
    <t xml:space="preserve">        ТАРИФЫ ДЛЯ НАСЕЛЕНИЯ И ПРОЧИХ ПОТРЕБИТЕЛЕЙ    НА   2008  ГОД</t>
  </si>
  <si>
    <t>ЭКОНОМ.ОБОСНОВАННЫЕ ТАРИФЫ</t>
  </si>
  <si>
    <t>руб./кВт/час</t>
  </si>
  <si>
    <t>руб./куб.м.</t>
  </si>
  <si>
    <t>(с чел.за 5,3 куб.м.)</t>
  </si>
  <si>
    <t>(техническая вода)</t>
  </si>
  <si>
    <t>руб./кв.м</t>
  </si>
  <si>
    <t>Тепловая энергия</t>
  </si>
  <si>
    <t>Замена дизель-электрического генератора</t>
  </si>
  <si>
    <t xml:space="preserve"> прибыль</t>
  </si>
  <si>
    <t>Ремонт трубопроводов ситемы охлаждения ДГ-72</t>
  </si>
  <si>
    <t>ремонт.раб.</t>
  </si>
  <si>
    <t>Ремонт ЛЭП ( 6 кВ), 40 опор</t>
  </si>
  <si>
    <t>Ремонт ЛЭП ( 0,4 кВ), 25 опор</t>
  </si>
  <si>
    <t>Ремонт системы отопления ДЭС</t>
  </si>
  <si>
    <t>Ремонт канализации ДЭС</t>
  </si>
  <si>
    <t>Ремонтно-востанов. работы по вводу "Верхней башни"</t>
  </si>
  <si>
    <t>Ремонтно-востанов. работы на магистр.трубопров., 2 км.</t>
  </si>
  <si>
    <t>ремонтн.раб.</t>
  </si>
  <si>
    <t xml:space="preserve">Закупка водогрейного котла </t>
  </si>
  <si>
    <t>Закупка оборудования для электр./импул.чистки</t>
  </si>
  <si>
    <t>Канализация</t>
  </si>
  <si>
    <t>Ремонтно-восстановительные работы, 450 м</t>
  </si>
  <si>
    <t>Замена трансмиссии ходовой части МТЛБв</t>
  </si>
  <si>
    <t>Замена ходовой части МТЛБу</t>
  </si>
  <si>
    <t>Ремонт К-700</t>
  </si>
  <si>
    <t>Ремонт теплосети, 440 м.</t>
  </si>
  <si>
    <t>Ремонт холодного водоснабжения, 440 м</t>
  </si>
  <si>
    <t>Ремонт фасада здания (Центральная, 5)</t>
  </si>
  <si>
    <t>Ремонт фасада здания (Центральная, 2)</t>
  </si>
  <si>
    <t>Косметический ремонт 2 подъезда (Дубровина, 5)</t>
  </si>
  <si>
    <t>Косметический ремонт 2 квартир</t>
  </si>
  <si>
    <t xml:space="preserve">        ТАРИФЫ ДЛЯ НАСЕЛЕНИЯ И ПРОЧИХ ПОТРЕБИТЕЛЕЙ    НА   2009  ГОД</t>
  </si>
  <si>
    <t>уборщик</t>
  </si>
  <si>
    <t>плотник</t>
  </si>
  <si>
    <t>электромонтер</t>
  </si>
  <si>
    <t>водитель</t>
  </si>
  <si>
    <t>разнорабочий</t>
  </si>
  <si>
    <t>10/0,5</t>
  </si>
  <si>
    <t>11/0,3</t>
  </si>
  <si>
    <t>18/0,2</t>
  </si>
  <si>
    <t>сант.</t>
  </si>
  <si>
    <t>11/0,6</t>
  </si>
  <si>
    <t>2 ед</t>
  </si>
  <si>
    <t>электрик</t>
  </si>
  <si>
    <t>1 ед</t>
  </si>
  <si>
    <t>Наем (базовая ставка)</t>
  </si>
  <si>
    <t>уборка</t>
  </si>
  <si>
    <t>мусор</t>
  </si>
  <si>
    <t>замена разб.стекол</t>
  </si>
  <si>
    <t>10.осенне-зимний период</t>
  </si>
  <si>
    <t>промывка ц.отопления</t>
  </si>
  <si>
    <t>12 осмотр</t>
  </si>
  <si>
    <t>13 наладка ц.о</t>
  </si>
  <si>
    <t>аварии</t>
  </si>
  <si>
    <t>изготовление паспортов</t>
  </si>
  <si>
    <t>в год</t>
  </si>
  <si>
    <t>в месяц</t>
  </si>
  <si>
    <t>на 1 кв.м</t>
  </si>
  <si>
    <t>1 кв.м</t>
  </si>
  <si>
    <t>год</t>
  </si>
  <si>
    <t>на 2009 год</t>
  </si>
  <si>
    <t>ремонт системы отопления ДЭС</t>
  </si>
  <si>
    <t>ремонт канализации ДЭС</t>
  </si>
  <si>
    <t>ремонт трубопров.внешн.контура сист.охл.</t>
  </si>
  <si>
    <t>ремонт теплосети</t>
  </si>
  <si>
    <t xml:space="preserve">закупка водогрейн. котла </t>
  </si>
  <si>
    <t>ремонт сети водопровода</t>
  </si>
  <si>
    <t>Закупка зап.частей к автотранпорту</t>
  </si>
  <si>
    <t>Отчисляемая прибыль</t>
  </si>
  <si>
    <t>закупка оборудован.для э/имп.чистки</t>
  </si>
  <si>
    <t>Примечание: в тарифы вколючены :</t>
  </si>
  <si>
    <t>Водоотведение: в т.ч.</t>
  </si>
  <si>
    <t xml:space="preserve">ремонт канализации </t>
  </si>
  <si>
    <t>Прочие инвестиционные программы</t>
  </si>
  <si>
    <t>адрес регистрации: ул.Ленина 13а, кв.21</t>
  </si>
  <si>
    <t xml:space="preserve">В связи с выездом из Амдермы на неопределенный срок прошу не начислять коммунальные </t>
  </si>
  <si>
    <t>П А М Я Т К А</t>
  </si>
  <si>
    <t>Квартальная отчетность:</t>
  </si>
  <si>
    <t>1. ЖКХ-22</t>
  </si>
  <si>
    <t>на 30 день после отчетного периода, инструкция по заполнению в папке.</t>
  </si>
  <si>
    <t>Компьютер: статистика, 22-ЖКХ, 2009. Прочие: благоустройство (дороги),</t>
  </si>
  <si>
    <t>1 квартал - данных нет, бухгалтера затраты не собирали.</t>
  </si>
  <si>
    <t>2.Водный налог    до  20 числа после отчетного квартала, папка декларация (водные</t>
  </si>
  <si>
    <t>объекты.</t>
  </si>
  <si>
    <t xml:space="preserve">Компьютер: водный налог, 2009 год, расчет налога в папке затраты-экон, </t>
  </si>
  <si>
    <t>3.Отчетные калькуляции</t>
  </si>
  <si>
    <t>Ежемесячно:</t>
  </si>
  <si>
    <t>2.До 20 числа после отчетного месяца информацию по электрической и тепловой энегии</t>
  </si>
  <si>
    <t>Компьютер: отчеты, УГРЦ, РЭК</t>
  </si>
  <si>
    <t>В МО     -  объемы по холодной воде.</t>
  </si>
  <si>
    <t xml:space="preserve">3.Возмещение убытков по населению до 5 числа в ЗР (факс 4-79-60) и МО. План на </t>
  </si>
  <si>
    <t>квартал до 20числа предшествующего месяца.</t>
  </si>
  <si>
    <t>Компьютер: население, расходование субсидий ЖКУ, гос.регул.09. Прило-</t>
  </si>
  <si>
    <t>жение к расчету -отчет о расх.убытков (отчеты, расход убытков прил.№3)</t>
  </si>
  <si>
    <t>воды населением по месецам.</t>
  </si>
  <si>
    <t xml:space="preserve">затрат-09, лист холодная вода. Приложение к налогу - акты учета расхода </t>
  </si>
  <si>
    <t>1.Сбор информации по объемам услуг, формирование себестоимости, папка расшиф-</t>
  </si>
  <si>
    <t>ровки, выработка.</t>
  </si>
  <si>
    <t>Компьютер: затраты-экон, затрат-09.</t>
  </si>
  <si>
    <t>в КГРЦ (факс 4-12-37), папка 46-ЭЭ.</t>
  </si>
  <si>
    <t>В МО     -  лист возмещ.мо(объемы по холодной воде).</t>
  </si>
  <si>
    <t xml:space="preserve">4.Выполнение производственной программы по водоснабжению и водоотведению в </t>
  </si>
  <si>
    <t>КГРЦ до 30 числа отчетного периода по электронной почте tarif nao@mail.ru</t>
  </si>
  <si>
    <t>Компьютер: отчеты, УГРЦ, май 2009, файлы "VO"и " VS"</t>
  </si>
  <si>
    <t>И.о.директора МУП "Амдермасервис"</t>
  </si>
  <si>
    <t>Прошу не ничислять коммунальные услуги по водоснабжению и водоотведению</t>
  </si>
  <si>
    <t>Начальнику ОГМС Амдерма</t>
  </si>
  <si>
    <t>Гуськову В.Ф..</t>
  </si>
  <si>
    <t>Гуськову В.Ф.</t>
  </si>
  <si>
    <t xml:space="preserve">ремонтно-востановительны работ на объектах МУП "Амдермасервис" </t>
  </si>
  <si>
    <t>О П И С Ь</t>
  </si>
  <si>
    <t>папок экономиста</t>
  </si>
  <si>
    <t xml:space="preserve">1. Расшифровки </t>
  </si>
  <si>
    <t>2009 год</t>
  </si>
  <si>
    <t>2. Выработка и факт.затраты     2009 год</t>
  </si>
  <si>
    <t xml:space="preserve">3. Возмещение убытков </t>
  </si>
  <si>
    <t>2008-2009 гг.</t>
  </si>
  <si>
    <t>4. Отчетные калькуляции  2009 год</t>
  </si>
  <si>
    <t xml:space="preserve">5. 22 - ЖКХ </t>
  </si>
  <si>
    <t xml:space="preserve">6. Тарифы </t>
  </si>
  <si>
    <t xml:space="preserve">7. Жилой фонд </t>
  </si>
  <si>
    <t xml:space="preserve">8. Плановые калькуляции на 2010 год </t>
  </si>
  <si>
    <t xml:space="preserve">9. Фонд оплаты труда </t>
  </si>
  <si>
    <t>2005-2009 гг.</t>
  </si>
  <si>
    <t xml:space="preserve">10. Штатное расписание  2009 год </t>
  </si>
  <si>
    <t xml:space="preserve">11.Водный налог </t>
  </si>
  <si>
    <t xml:space="preserve">12.Отчеты 46-ЭЭ </t>
  </si>
  <si>
    <t xml:space="preserve">13.Выполнение производственной программы (водоснабжение, водоотведение) </t>
  </si>
  <si>
    <t xml:space="preserve">14. ГСМ </t>
  </si>
  <si>
    <t>2004-2005 год</t>
  </si>
  <si>
    <t xml:space="preserve">15. Калькуляции </t>
  </si>
  <si>
    <t>2004-2009 гг.</t>
  </si>
  <si>
    <t>16. Премирование</t>
  </si>
  <si>
    <t>17. Приказы</t>
  </si>
  <si>
    <t>Волынец Лариса Андреевна  - председатель</t>
  </si>
  <si>
    <t>Кислякова Елена Сергеевна</t>
  </si>
  <si>
    <t>факс 8185341237</t>
  </si>
  <si>
    <t>Комитет по государственному регулированию цен (тарифовф): 8185343132,</t>
  </si>
  <si>
    <t>МО "Поселок Амдерма"</t>
  </si>
  <si>
    <t>Заявление</t>
  </si>
  <si>
    <t>Вокуевой С.И.</t>
  </si>
  <si>
    <t xml:space="preserve">Экономист </t>
  </si>
  <si>
    <t xml:space="preserve">        ТАРИФЫ ДЛЯ НАСЕЛЕНИЯ И ПРОЧИХ ПОТРЕБИТЕЛЕЙ    НА   2010  ГОД</t>
  </si>
  <si>
    <t>на 2010 год</t>
  </si>
  <si>
    <t>ремонт здания ДЭС</t>
  </si>
  <si>
    <t>ремонт зданий ТП</t>
  </si>
  <si>
    <t>ремонт импак</t>
  </si>
  <si>
    <t>Выполнено</t>
  </si>
  <si>
    <t>сч.20</t>
  </si>
  <si>
    <t>всего выполнено</t>
  </si>
  <si>
    <t>по плану</t>
  </si>
  <si>
    <t>амортизация</t>
  </si>
  <si>
    <t>жилой фонд</t>
  </si>
  <si>
    <t>Итого по плану</t>
  </si>
  <si>
    <t>ремонт кан.с. Адрес, прот.</t>
  </si>
  <si>
    <t>ремонт ЛЭП</t>
  </si>
  <si>
    <t>ремонт ЛЭП: ДЭС-аэропорт (15 опор), ДЭС-Водовод (9 опр),</t>
  </si>
  <si>
    <t xml:space="preserve">в поселке (3 опоры); ремонт здания ДЭС(кровли, фасада, </t>
  </si>
  <si>
    <t xml:space="preserve">утепление здания); ремонт системы отопления, системы </t>
  </si>
  <si>
    <t>охлаждения</t>
  </si>
  <si>
    <t>Всего:</t>
  </si>
  <si>
    <t>мероприятий</t>
  </si>
  <si>
    <t>Ремонт здания ДЭС:</t>
  </si>
  <si>
    <t>ремонт кровли,</t>
  </si>
  <si>
    <t xml:space="preserve">План </t>
  </si>
  <si>
    <t>не выплнено</t>
  </si>
  <si>
    <t>ремонт кровли, фасада</t>
  </si>
  <si>
    <t>уч.ДЭС-аэропорт(15), ДЭС-Водовод(9)</t>
  </si>
  <si>
    <t>в поселке - 3 опоры</t>
  </si>
  <si>
    <t>ДЭС-водовод (9 опор),</t>
  </si>
  <si>
    <t>ДЭС-аэропорт (15 опор),</t>
  </si>
  <si>
    <t>поселок (3 опоры)</t>
  </si>
  <si>
    <t>Ремонт здания ДЭС</t>
  </si>
  <si>
    <t>Ремонт ТП</t>
  </si>
  <si>
    <t>Ремонт ДГ-72 №8</t>
  </si>
  <si>
    <t>ремонт магистральной трассы,</t>
  </si>
  <si>
    <t>ремонт ВНС-1</t>
  </si>
  <si>
    <t>трасса водоснабжения(Лен.13, Ц.5)</t>
  </si>
  <si>
    <t>ремонт опр топливопровода</t>
  </si>
  <si>
    <t>Отчет о выполнении плана</t>
  </si>
  <si>
    <t xml:space="preserve">ремонтно-востановительны работ на объектах МУП "Амдермасервис"  </t>
  </si>
  <si>
    <t>Наименование работ</t>
  </si>
  <si>
    <t>Работы по ремонту ЛЭП:</t>
  </si>
  <si>
    <t>Дополнительные работы</t>
  </si>
  <si>
    <t>Ремонт системы охлаждения</t>
  </si>
  <si>
    <t>2010 год</t>
  </si>
  <si>
    <t>Итого по ДЭС:</t>
  </si>
  <si>
    <t>Утверждено</t>
  </si>
  <si>
    <t>в тарифе</t>
  </si>
  <si>
    <t>(тыс.руб)</t>
  </si>
  <si>
    <t>Работы по ремонту на участках:</t>
  </si>
  <si>
    <t>Фактически выполнено</t>
  </si>
  <si>
    <t>мероприятия</t>
  </si>
  <si>
    <t>Ремонт водогрейного</t>
  </si>
  <si>
    <t>котла "Импак"</t>
  </si>
  <si>
    <t>Ремонт теплосетей</t>
  </si>
  <si>
    <t>к ж/дому Центральная 5</t>
  </si>
  <si>
    <t>замена наружных труб т/снабжения</t>
  </si>
  <si>
    <t>к ж/дому Центральная 2</t>
  </si>
  <si>
    <t>к зданию Администрации</t>
  </si>
  <si>
    <t>к ж/дому Ленина 13а</t>
  </si>
  <si>
    <t>демонтаж старой дымовой трубы</t>
  </si>
  <si>
    <t>выполнены работы по:</t>
  </si>
  <si>
    <t>ремонту кровли, фасада,</t>
  </si>
  <si>
    <t>по утеплению бытов. помещений</t>
  </si>
  <si>
    <t>Итого по котельной:</t>
  </si>
  <si>
    <t>Электрическая энергия</t>
  </si>
  <si>
    <t>к гаражу АТХ</t>
  </si>
  <si>
    <t>ремонт дымохода</t>
  </si>
  <si>
    <t>к школе</t>
  </si>
  <si>
    <t>обслуживание оборудования</t>
  </si>
  <si>
    <t>Водоснабжение</t>
  </si>
  <si>
    <t>замена канализационных труб:</t>
  </si>
  <si>
    <t>Итого по водоотведению:</t>
  </si>
  <si>
    <t>наружная канализ.Ленина 13а</t>
  </si>
  <si>
    <t>трасса</t>
  </si>
  <si>
    <t>ремонт опор топливопровода</t>
  </si>
  <si>
    <t>Итого по водоснабжению:</t>
  </si>
  <si>
    <t>замена наружных труб водоснаб.:</t>
  </si>
  <si>
    <t>к ж/дому Ленина 24</t>
  </si>
  <si>
    <t>замена дымогарных труб</t>
  </si>
  <si>
    <t>Ремонтные работы</t>
  </si>
  <si>
    <t>канализационных труб</t>
  </si>
  <si>
    <t xml:space="preserve">Ремонт </t>
  </si>
  <si>
    <t>Ремонт котлов № 5 и № 6</t>
  </si>
  <si>
    <t>ремонт кровли котельной</t>
  </si>
  <si>
    <t>установка шкафа сигнализации</t>
  </si>
  <si>
    <t>уч.здание посты - Дубровина 2а</t>
  </si>
  <si>
    <t>аварийный ремонты по трассе</t>
  </si>
  <si>
    <t>ИТОГО ПО ПРЕДПРИЯТИЮ:</t>
  </si>
  <si>
    <t xml:space="preserve">Муниципальное  унитарное  предприятие    </t>
  </si>
  <si>
    <t>«А м д е р м а с е р в и с»</t>
  </si>
  <si>
    <t>166744  Россия  Ненецкий автономный округ,    пос. Амдерма    ул. Центральная, д. 9</t>
  </si>
  <si>
    <t>Тел.  2-18,  3-75,   факс 3-75</t>
  </si>
  <si>
    <t>_____________________________________________________________________________________</t>
  </si>
  <si>
    <t>Отчетная калькуляция стоимости содержания 1 кв.м. общей площади жилого фонда за 10 месяцев 2010 года.</t>
  </si>
  <si>
    <t>ЖКХ №2, 2010 год:</t>
  </si>
  <si>
    <t>ФАКТ</t>
  </si>
  <si>
    <t>Примечания</t>
  </si>
  <si>
    <t>Текущий ремонт:</t>
  </si>
  <si>
    <t>Входные двери подъездов,тротуары,чердаки, крыльцо</t>
  </si>
  <si>
    <t>Ремонт дверей в жилфонде</t>
  </si>
  <si>
    <t>Замена лампочек в подъездах</t>
  </si>
  <si>
    <t>ГДЕ?</t>
  </si>
  <si>
    <t>форточки, крыльцо</t>
  </si>
  <si>
    <t xml:space="preserve">Центральная 2 </t>
  </si>
  <si>
    <t>переход через короб</t>
  </si>
  <si>
    <t>Ленина 10 кв. 3</t>
  </si>
  <si>
    <t>замена сантехники</t>
  </si>
  <si>
    <t xml:space="preserve">Ленина 13а </t>
  </si>
  <si>
    <t>пожарная лестница</t>
  </si>
  <si>
    <t>Ленина 13а, кв.17</t>
  </si>
  <si>
    <t>ремонтные работы</t>
  </si>
  <si>
    <t>Дубровина 5 кв.20 и 11, Цетральная 5 кв. 2 и 9</t>
  </si>
  <si>
    <t>сантехника, замок</t>
  </si>
  <si>
    <t>Дубровина 5 кв.20</t>
  </si>
  <si>
    <t>утепление стены</t>
  </si>
  <si>
    <t>система отопл.</t>
  </si>
  <si>
    <t>Ленина 24 кв.8</t>
  </si>
  <si>
    <t>установка унитаза</t>
  </si>
  <si>
    <t>Ленина 24</t>
  </si>
  <si>
    <t>сант.работы</t>
  </si>
  <si>
    <t>Дубровина 5 кв.18, Ревуцкого 8 кв.4, 12</t>
  </si>
  <si>
    <t>замена манжеты</t>
  </si>
  <si>
    <t>Дубровина 5 кв.5</t>
  </si>
  <si>
    <t>Ленина 11кв.1</t>
  </si>
  <si>
    <t>замена замка</t>
  </si>
  <si>
    <t>Ленина 22 кв.3 и 10</t>
  </si>
  <si>
    <t>сантехника</t>
  </si>
  <si>
    <t>Ленина 11 кв.2</t>
  </si>
  <si>
    <t>гор.и хол.водоснабж.сантехника</t>
  </si>
  <si>
    <t>Аварийный ремонт</t>
  </si>
  <si>
    <t>Ревуцкого 8 кв.14</t>
  </si>
  <si>
    <t>замена трубы</t>
  </si>
  <si>
    <t>Содерж. и рем. жил.фонда,Итого:</t>
  </si>
  <si>
    <t>Материалы</t>
  </si>
  <si>
    <t>Зарплата штатных сотрудников</t>
  </si>
  <si>
    <t>больничные</t>
  </si>
  <si>
    <t>отчисления</t>
  </si>
  <si>
    <t>Обучение персонала</t>
  </si>
  <si>
    <t>Итого затрат на персонал:</t>
  </si>
  <si>
    <t>Экология (налог):</t>
  </si>
  <si>
    <t>Аттестация раочих мест:</t>
  </si>
  <si>
    <t>Льготный проезд:</t>
  </si>
  <si>
    <t>Диз.топливо(ГСМ) на вывоз мусора, Тонн:</t>
  </si>
  <si>
    <t>3,4 тонн</t>
  </si>
  <si>
    <t>2,07 тонн</t>
  </si>
  <si>
    <t>1 т = 7440,3</t>
  </si>
  <si>
    <t>РУБ:</t>
  </si>
  <si>
    <t>Себестоимость оказанных услуг всего:</t>
  </si>
  <si>
    <t>Накладные расходы( 25%)</t>
  </si>
  <si>
    <t>Итого расходов:</t>
  </si>
  <si>
    <t>Рентабельность (10%)</t>
  </si>
  <si>
    <t>Итого стоимость содержания жилфонда(ССЖ):</t>
  </si>
  <si>
    <r>
      <t xml:space="preserve">1 кв. м./месяц = </t>
    </r>
    <r>
      <rPr>
        <sz val="12"/>
        <rFont val="Arial"/>
        <family val="2"/>
      </rPr>
      <t>ССЖ/Площадь жил.фонда(8722,45м2)/12:</t>
    </r>
  </si>
  <si>
    <t>с НДС (18%)</t>
  </si>
  <si>
    <t>И.о. директора МУП "Амдермасервис"</t>
  </si>
  <si>
    <t>Кожевников М.В.</t>
  </si>
  <si>
    <t>И.о. главного бухгалтера - начальника ФЭО</t>
  </si>
  <si>
    <t>Иванченко Л.А.</t>
  </si>
  <si>
    <t>Исполнитель</t>
  </si>
  <si>
    <t>Жилой фонд</t>
  </si>
  <si>
    <t>Текущий ремонт</t>
  </si>
  <si>
    <t>входные двери подъездов, тротуары, чердаки</t>
  </si>
  <si>
    <t>замена лампочек в подъездах</t>
  </si>
  <si>
    <t>ремонт форточек, крыльцо</t>
  </si>
  <si>
    <t>Центральная 2</t>
  </si>
  <si>
    <t>Дубровина 5</t>
  </si>
  <si>
    <t>замена трубы - аварийный ремонт</t>
  </si>
  <si>
    <t>Ленина 13а</t>
  </si>
  <si>
    <t>Ленина 13а кв.17</t>
  </si>
  <si>
    <t>Дубровина 5 кв.20, 11,</t>
  </si>
  <si>
    <t xml:space="preserve">замена замка, установка крепления для </t>
  </si>
  <si>
    <t>полотенцесуш., установка сливной колонки</t>
  </si>
  <si>
    <t>Центральная 2 кв.5, 9</t>
  </si>
  <si>
    <t>врезка крана, замена трубы, укрепление трубы,</t>
  </si>
  <si>
    <t>установка крепления полотенцесуш.</t>
  </si>
  <si>
    <t>Дубровина 5 кв.13,16,23</t>
  </si>
  <si>
    <t>Ленина 13а кв.3,7,10,21</t>
  </si>
  <si>
    <t>Ленина 22 кв.8,16,20,24</t>
  </si>
  <si>
    <t>утепление ввода в дом</t>
  </si>
  <si>
    <t xml:space="preserve">Дубровина 5 кв.18, </t>
  </si>
  <si>
    <t>Ревуцкого 8 кв.4, 12</t>
  </si>
  <si>
    <t>ремонт трубы отопления</t>
  </si>
  <si>
    <t>Ленина 11 кв.1</t>
  </si>
  <si>
    <t>Ленина 22 кв.3</t>
  </si>
  <si>
    <t>ремонт унитаза, труб отопления</t>
  </si>
  <si>
    <t>Итого по жилфонду:</t>
  </si>
  <si>
    <t>Дубровина 5 кв.13 и 16 и 23, Ленина 24 кв.12, 16, 24,  Ленина 11 кв.2, Ленина 13а кв.3, 7, 10, 21, Ленина 22 кв.8, 16, 20, 24</t>
  </si>
  <si>
    <t>Ленина 24 кв.12,16, 20</t>
  </si>
  <si>
    <t>ремонт вентиля</t>
  </si>
  <si>
    <t>малярные работы</t>
  </si>
  <si>
    <t>замена унитаза</t>
  </si>
  <si>
    <t>ремонт крыши</t>
  </si>
  <si>
    <t xml:space="preserve">        ТАРИФЫ ДЛЯ НАСЕЛЕНИЯ И ПРОЧИХ ПОТРЕБИТЕЛЕЙ    НА   2011  ГОД</t>
  </si>
  <si>
    <t>КГРЦТ НАО</t>
  </si>
  <si>
    <t>Приказ №81 от 17.12.10</t>
  </si>
  <si>
    <t>Приказ № 69 от 29.11.10</t>
  </si>
  <si>
    <t>Приказ № 73 от 07.12.10</t>
  </si>
  <si>
    <t>Постановление № 105-П</t>
  </si>
  <si>
    <t>от 17.12.2010</t>
  </si>
  <si>
    <t>Постановление № 104-П</t>
  </si>
  <si>
    <t>от 10.12.2010</t>
  </si>
  <si>
    <t>Основание</t>
  </si>
  <si>
    <t>МО " Поселок Амдерма"</t>
  </si>
  <si>
    <t>Приказ №82 от 17.12.10</t>
  </si>
  <si>
    <t>( 0,04 Гкал/кв.м)</t>
  </si>
  <si>
    <t>Единицы измерения,</t>
  </si>
  <si>
    <t>норматив</t>
  </si>
  <si>
    <t>потребления</t>
  </si>
  <si>
    <t>руб./кВт.час</t>
  </si>
  <si>
    <t>от экономиста ФЭО</t>
  </si>
  <si>
    <t>Обертенюку Е.М</t>
  </si>
  <si>
    <t>Прошу не начислять коммунальные услуги по воде и водоотведению по адресу:</t>
  </si>
  <si>
    <t xml:space="preserve">ул. Ленина 13а кв.21, так как временно проживаю и оплачиваю услуги по воде и </t>
  </si>
  <si>
    <t>водоотведению по адресу: ул. Полярная д.29 кв.7.</t>
  </si>
  <si>
    <t>по воде и водоотведению Вокуевой С.И.</t>
  </si>
  <si>
    <t>Подтверждаю факт проживания и оплату ком.услуг</t>
  </si>
  <si>
    <t>В.Ф.Гуськов</t>
  </si>
  <si>
    <t>январь</t>
  </si>
  <si>
    <t>февраль</t>
  </si>
  <si>
    <t>март</t>
  </si>
  <si>
    <t>т/э</t>
  </si>
  <si>
    <t>э/э</t>
  </si>
  <si>
    <t>вода</t>
  </si>
  <si>
    <t>ИТОГО</t>
  </si>
  <si>
    <t>С П Р А В К А</t>
  </si>
  <si>
    <t>МУП "Амдермасервис"</t>
  </si>
  <si>
    <t>2011 год</t>
  </si>
  <si>
    <t>В доходах предприятия 2011 года топливная составляющая равна:</t>
  </si>
  <si>
    <t>Месяц</t>
  </si>
  <si>
    <t>Доходы от</t>
  </si>
  <si>
    <t>теплоэнергии</t>
  </si>
  <si>
    <t>электроэнергии</t>
  </si>
  <si>
    <t>водоснабжения</t>
  </si>
  <si>
    <t>Январь</t>
  </si>
  <si>
    <t>Февраль</t>
  </si>
  <si>
    <t>Март</t>
  </si>
  <si>
    <t>Приказ №19 от 12.05.11</t>
  </si>
  <si>
    <t>за период моего отсутствия в Амдерме с 08 мая по 04 июля 2011 года</t>
  </si>
  <si>
    <t>Директору МУП "Амдермасервис"</t>
  </si>
  <si>
    <t>Куликову А.И.</t>
  </si>
  <si>
    <t>Финансовые средства, предусмотренные в тарифах 2011 года:</t>
  </si>
  <si>
    <t>ЭЛЕКТРОЭНЕРГИЯ</t>
  </si>
  <si>
    <t xml:space="preserve">ремонтные раб. </t>
  </si>
  <si>
    <t>прибыль</t>
  </si>
  <si>
    <t>(см.расчет переноса трансформ.станции)</t>
  </si>
  <si>
    <t>ТЕПЛОВАЯ ЭНЕРГИЯ</t>
  </si>
  <si>
    <t>(см.расчет замены труб, замена котла)</t>
  </si>
  <si>
    <t>ВОДОСНАБЖЕНИЕ</t>
  </si>
  <si>
    <t>(см.расчет замены труб)</t>
  </si>
  <si>
    <t>Финансовые средства, планируемые в тарифах 2012 года:</t>
  </si>
  <si>
    <t>проезда</t>
  </si>
  <si>
    <t>27 октября 2011 года</t>
  </si>
  <si>
    <t>Прошу  уволить  меня  по  собственному  желанию  7  декабря  2011  года.</t>
  </si>
  <si>
    <t xml:space="preserve">Прошу предоставить отпуск в количестве 36 дней с 01 ноября по 7 декабря 2011 года с оплатой </t>
  </si>
  <si>
    <t>21 ноября 2011 года</t>
  </si>
  <si>
    <t>услуги по водоснабжению и водоотведению с 06.11.2011 года</t>
  </si>
  <si>
    <t xml:space="preserve">        ТАРИФЫ ДЛЯ НАСЕЛЕНИЯ И ПРОЧИХ ПОТРЕБИТЕЛЕЙ    НА   2012  ГОД</t>
  </si>
  <si>
    <t>(период с 01.01.2012 по 30.06.2012)</t>
  </si>
  <si>
    <t>Приказ №52 от 02.12.11</t>
  </si>
  <si>
    <t>Приказ №53 от 02.12.10</t>
  </si>
  <si>
    <t>Приказ № 44 от 29.11.11</t>
  </si>
  <si>
    <t>Приказ №48 от 02.12.11</t>
  </si>
  <si>
    <t>Тепловой носитель</t>
  </si>
  <si>
    <t>Приказ № 51 от 02.12.11</t>
  </si>
  <si>
    <t>Постановление № 94-П</t>
  </si>
  <si>
    <t>Постановление № 93-П</t>
  </si>
  <si>
    <t>от 23.12.2011</t>
  </si>
  <si>
    <t>от 26.12.2011</t>
  </si>
  <si>
    <t>(период с 01.07.2012 по 31.08.2012)</t>
  </si>
  <si>
    <t>(период с 01.09.2012 по 31.12.2012)</t>
  </si>
  <si>
    <t>*)</t>
  </si>
  <si>
    <t>www/adm-nao.ru-Органы власти-Комитет по гос.регулированию-Информация для регулируемых организаций</t>
  </si>
  <si>
    <t xml:space="preserve">     В соответствии с пунктом 7 Методических указаний по расчету тарифов и надбавок в сфере деятельности организаций коммунального</t>
  </si>
  <si>
    <t>комплекса, утвержденных Приказом Минрегиона РФ от 15.02.2011 №47 "Об утверждении Методических указаний по расчету тарифов и надбавок</t>
  </si>
  <si>
    <t>в  которой вся или часть сетевой воды (теплоносителя) используется путем ее отбора из тепловой сети для удовлетворения нужд потребителя</t>
  </si>
  <si>
    <t>в горячей воде, потребители оплачивают:</t>
  </si>
  <si>
    <t xml:space="preserve"> - тепловую энергию (мощность), используемую для целей горячего водоснабжения, по тарифам, установленным</t>
  </si>
  <si>
    <t>в соотвествии с законодательством РФ в сфере теплоснабжения;</t>
  </si>
  <si>
    <t xml:space="preserve"> - расход теплоносителя на цели горячего водоснабжения исходя из удельной стоимости подготовки 1 куб.метра</t>
  </si>
  <si>
    <t xml:space="preserve">воды в открытых системах теплоснабжения соответствующей организацией (производителей тепловой </t>
  </si>
  <si>
    <t>энергии)</t>
  </si>
  <si>
    <t>платы за тепловую энергию, необходимую для подогрева теплоносителя и</t>
  </si>
  <si>
    <t>платы за теплоноситель, потребляемый из тепловой сети.</t>
  </si>
  <si>
    <r>
      <t xml:space="preserve">в сфере деятельности организаций коммунального комплекса", </t>
    </r>
    <r>
      <rPr>
        <u val="single"/>
        <sz val="10"/>
        <rFont val="Arial"/>
        <family val="2"/>
      </rPr>
      <t>если горячее водоснабжение осуществляется в водяной системе теплоснабжения</t>
    </r>
    <r>
      <rPr>
        <sz val="10"/>
        <rFont val="Arial"/>
        <family val="0"/>
      </rPr>
      <t>,</t>
    </r>
  </si>
  <si>
    <r>
      <t xml:space="preserve">     Таким образом, </t>
    </r>
    <r>
      <rPr>
        <b/>
        <sz val="10"/>
        <rFont val="Arial"/>
        <family val="2"/>
      </rPr>
      <t>плата потребителей за горячее водоснабжение из открытой системы теплоснабжения</t>
    </r>
    <r>
      <rPr>
        <sz val="10"/>
        <rFont val="Arial"/>
        <family val="2"/>
      </rPr>
      <t xml:space="preserve"> будет состоять из двух составляющих:</t>
    </r>
  </si>
  <si>
    <t>Обращаем внимание на то, что плата потребителей за горячее водоснабжение из открытой системы теплоснабжения, даже</t>
  </si>
  <si>
    <r>
      <t xml:space="preserve">при неизменном объеме ( например, по нормативу), будет ежемесячно меняться вследствии изменения </t>
    </r>
    <r>
      <rPr>
        <b/>
        <i/>
        <sz val="11"/>
        <rFont val="Arial"/>
        <family val="2"/>
      </rPr>
      <t xml:space="preserve">средней за месяц </t>
    </r>
  </si>
  <si>
    <t>утвержденным температурным графиком)</t>
  </si>
  <si>
    <r>
      <t>температуры наружного воздуха</t>
    </r>
    <r>
      <rPr>
        <i/>
        <sz val="11"/>
        <rFont val="Arial"/>
        <family val="2"/>
      </rPr>
      <t xml:space="preserve">, а значит и фактической </t>
    </r>
    <r>
      <rPr>
        <b/>
        <i/>
        <sz val="11"/>
        <rFont val="Arial"/>
        <family val="2"/>
      </rPr>
      <t>за месяц температуры теплоносителя (</t>
    </r>
    <r>
      <rPr>
        <i/>
        <sz val="11"/>
        <rFont val="Arial"/>
        <family val="2"/>
      </rPr>
      <t xml:space="preserve"> в соответствии </t>
    </r>
  </si>
  <si>
    <t xml:space="preserve">  (Ревуцкого,8)</t>
  </si>
  <si>
    <t>экономически обоснованный</t>
  </si>
  <si>
    <t xml:space="preserve">        ТАРИФЫ ДЛЯ НАСЕЛЕНИЯ И ПРОЧИХ ПОТРЕБИТЕЛЕЙ    НА   2013  ГОД</t>
  </si>
  <si>
    <t>(период с 01.07.2013 по 31.12.2013)</t>
  </si>
  <si>
    <t>(период с 01.01.2013 по 30.06.2013)</t>
  </si>
  <si>
    <t>Приказ №66 от 14.12.12</t>
  </si>
  <si>
    <t>Приказ №64 от 14.12.12</t>
  </si>
  <si>
    <t>Приказ №58 от 14.12.12</t>
  </si>
  <si>
    <t>Горячая вода  из закрытой системы водоснабжения</t>
  </si>
  <si>
    <t>Горячая вода  из открытой системы водоснабжения</t>
  </si>
  <si>
    <t>Приказ №46 от 22.11.12</t>
  </si>
  <si>
    <t>Приказ №60 от 14.12.12</t>
  </si>
  <si>
    <t>Приказ №59 от 14.12.12</t>
  </si>
  <si>
    <t>Постановление № 95-П</t>
  </si>
  <si>
    <t>от 29.12.2012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</si>
</sst>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#,##0.0"/>
    <numFmt numFmtId="188" formatCode="0.0%"/>
  </numFmts>
  <fonts count="66">
    <font>
      <sz val="10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name val="Bookman Old Style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2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80" fontId="0" fillId="0" borderId="0" xfId="0" applyNumberFormat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180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18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187" fontId="4" fillId="0" borderId="0" xfId="0" applyNumberFormat="1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1" fillId="0" borderId="1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8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21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2" fillId="0" borderId="21" xfId="0" applyFont="1" applyBorder="1" applyAlignment="1">
      <alignment/>
    </xf>
    <xf numFmtId="2" fontId="11" fillId="0" borderId="14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180" fontId="0" fillId="0" borderId="24" xfId="0" applyNumberFormat="1" applyBorder="1" applyAlignment="1">
      <alignment horizontal="left"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3" fontId="10" fillId="0" borderId="0" xfId="0" applyNumberFormat="1" applyFont="1" applyFill="1" applyBorder="1" applyAlignment="1">
      <alignment/>
    </xf>
    <xf numFmtId="16" fontId="5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80" fontId="4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23" xfId="0" applyFont="1" applyBorder="1" applyAlignment="1">
      <alignment horizontal="center"/>
    </xf>
    <xf numFmtId="3" fontId="17" fillId="0" borderId="23" xfId="0" applyNumberFormat="1" applyFont="1" applyFill="1" applyBorder="1" applyAlignment="1">
      <alignment horizontal="center"/>
    </xf>
    <xf numFmtId="3" fontId="18" fillId="0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18" fillId="0" borderId="18" xfId="0" applyNumberFormat="1" applyFont="1" applyFill="1" applyBorder="1" applyAlignment="1">
      <alignment horizontal="center"/>
    </xf>
    <xf numFmtId="3" fontId="18" fillId="0" borderId="20" xfId="0" applyNumberFormat="1" applyFont="1" applyFill="1" applyBorder="1" applyAlignment="1">
      <alignment horizontal="center"/>
    </xf>
    <xf numFmtId="3" fontId="17" fillId="0" borderId="22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3" fontId="18" fillId="34" borderId="23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5" fillId="0" borderId="2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18" fillId="0" borderId="22" xfId="0" applyNumberFormat="1" applyFont="1" applyFill="1" applyBorder="1" applyAlignment="1">
      <alignment horizontal="center"/>
    </xf>
    <xf numFmtId="3" fontId="18" fillId="34" borderId="18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4" fontId="8" fillId="0" borderId="15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3" fontId="21" fillId="0" borderId="18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80" fontId="0" fillId="0" borderId="26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5" xfId="0" applyFill="1" applyBorder="1" applyAlignment="1">
      <alignment/>
    </xf>
    <xf numFmtId="180" fontId="0" fillId="0" borderId="25" xfId="0" applyNumberFormat="1" applyFill="1" applyBorder="1" applyAlignment="1">
      <alignment horizontal="center"/>
    </xf>
    <xf numFmtId="180" fontId="0" fillId="0" borderId="26" xfId="0" applyNumberForma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80" fontId="0" fillId="0" borderId="19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180" fontId="4" fillId="0" borderId="33" xfId="0" applyNumberFormat="1" applyFont="1" applyFill="1" applyBorder="1" applyAlignment="1">
      <alignment horizontal="center"/>
    </xf>
    <xf numFmtId="180" fontId="4" fillId="0" borderId="35" xfId="0" applyNumberFormat="1" applyFont="1" applyFill="1" applyBorder="1" applyAlignment="1">
      <alignment horizontal="center"/>
    </xf>
    <xf numFmtId="180" fontId="4" fillId="0" borderId="36" xfId="0" applyNumberFormat="1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7" xfId="0" applyFill="1" applyBorder="1" applyAlignment="1">
      <alignment/>
    </xf>
    <xf numFmtId="0" fontId="4" fillId="0" borderId="33" xfId="0" applyFont="1" applyFill="1" applyBorder="1" applyAlignment="1">
      <alignment/>
    </xf>
    <xf numFmtId="180" fontId="0" fillId="0" borderId="26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12" fillId="0" borderId="2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 horizontal="center"/>
    </xf>
    <xf numFmtId="180" fontId="0" fillId="0" borderId="44" xfId="0" applyNumberForma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80" fontId="0" fillId="0" borderId="45" xfId="0" applyNumberFormat="1" applyFill="1" applyBorder="1" applyAlignment="1">
      <alignment horizontal="center"/>
    </xf>
    <xf numFmtId="180" fontId="4" fillId="0" borderId="33" xfId="0" applyNumberFormat="1" applyFont="1" applyFill="1" applyBorder="1" applyAlignment="1">
      <alignment/>
    </xf>
    <xf numFmtId="0" fontId="12" fillId="0" borderId="27" xfId="0" applyFont="1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180" fontId="0" fillId="0" borderId="29" xfId="0" applyNumberFormat="1" applyFill="1" applyBorder="1" applyAlignment="1">
      <alignment horizontal="center"/>
    </xf>
    <xf numFmtId="0" fontId="0" fillId="0" borderId="46" xfId="0" applyFill="1" applyBorder="1" applyAlignment="1">
      <alignment/>
    </xf>
    <xf numFmtId="0" fontId="4" fillId="0" borderId="28" xfId="0" applyFont="1" applyFill="1" applyBorder="1" applyAlignment="1">
      <alignment horizontal="center"/>
    </xf>
    <xf numFmtId="180" fontId="0" fillId="0" borderId="32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0" fontId="0" fillId="0" borderId="43" xfId="0" applyNumberFormat="1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/>
    </xf>
    <xf numFmtId="0" fontId="4" fillId="0" borderId="47" xfId="0" applyFont="1" applyBorder="1" applyAlignment="1">
      <alignment/>
    </xf>
    <xf numFmtId="180" fontId="4" fillId="0" borderId="48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180" fontId="0" fillId="0" borderId="48" xfId="0" applyNumberFormat="1" applyBorder="1" applyAlignment="1">
      <alignment/>
    </xf>
    <xf numFmtId="0" fontId="4" fillId="0" borderId="3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4" fontId="4" fillId="33" borderId="50" xfId="0" applyNumberFormat="1" applyFont="1" applyFill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3" fontId="0" fillId="0" borderId="52" xfId="0" applyNumberForma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4" fontId="0" fillId="35" borderId="17" xfId="0" applyNumberFormat="1" applyFont="1" applyFill="1" applyBorder="1" applyAlignment="1">
      <alignment horizontal="center" vertical="center" wrapText="1"/>
    </xf>
    <xf numFmtId="3" fontId="0" fillId="0" borderId="53" xfId="0" applyNumberForma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" fontId="0" fillId="35" borderId="17" xfId="0" applyNumberFormat="1" applyFill="1" applyBorder="1" applyAlignment="1">
      <alignment horizontal="center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3" fontId="26" fillId="0" borderId="53" xfId="0" applyNumberFormat="1" applyFont="1" applyFill="1" applyBorder="1" applyAlignment="1">
      <alignment horizontal="center" vertical="center" wrapText="1"/>
    </xf>
    <xf numFmtId="3" fontId="0" fillId="35" borderId="53" xfId="0" applyNumberFormat="1" applyFill="1" applyBorder="1" applyAlignment="1">
      <alignment horizontal="center" vertical="center" wrapText="1"/>
    </xf>
    <xf numFmtId="4" fontId="0" fillId="34" borderId="17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4" fontId="0" fillId="35" borderId="22" xfId="0" applyNumberFormat="1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4" fontId="0" fillId="35" borderId="15" xfId="0" applyNumberFormat="1" applyFill="1" applyBorder="1" applyAlignment="1">
      <alignment horizontal="center" vertical="center" wrapText="1"/>
    </xf>
    <xf numFmtId="3" fontId="0" fillId="0" borderId="55" xfId="0" applyNumberForma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3" fontId="4" fillId="0" borderId="57" xfId="0" applyNumberFormat="1" applyFont="1" applyFill="1" applyBorder="1" applyAlignment="1">
      <alignment horizontal="center" vertical="center" wrapText="1"/>
    </xf>
    <xf numFmtId="4" fontId="4" fillId="34" borderId="57" xfId="0" applyNumberFormat="1" applyFont="1" applyFill="1" applyBorder="1" applyAlignment="1">
      <alignment horizontal="center" vertical="center" wrapText="1"/>
    </xf>
    <xf numFmtId="188" fontId="4" fillId="33" borderId="58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188" fontId="4" fillId="33" borderId="55" xfId="0" applyNumberFormat="1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3" fontId="0" fillId="0" borderId="61" xfId="0" applyNumberFormat="1" applyFont="1" applyFill="1" applyBorder="1" applyAlignment="1">
      <alignment horizontal="center" vertical="center" wrapText="1"/>
    </xf>
    <xf numFmtId="4" fontId="0" fillId="34" borderId="61" xfId="0" applyNumberFormat="1" applyFill="1" applyBorder="1" applyAlignment="1">
      <alignment horizontal="center" vertical="center" wrapText="1"/>
    </xf>
    <xf numFmtId="188" fontId="0" fillId="0" borderId="62" xfId="0" applyNumberFormat="1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188" fontId="4" fillId="0" borderId="53" xfId="0" applyNumberFormat="1" applyFont="1" applyFill="1" applyBorder="1" applyAlignment="1">
      <alignment horizontal="center" vertical="center"/>
    </xf>
    <xf numFmtId="188" fontId="0" fillId="0" borderId="53" xfId="0" applyNumberFormat="1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/>
    </xf>
    <xf numFmtId="188" fontId="4" fillId="0" borderId="52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88" fontId="4" fillId="0" borderId="53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4" fontId="0" fillId="33" borderId="17" xfId="0" applyNumberForma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justify" wrapText="1"/>
    </xf>
    <xf numFmtId="3" fontId="4" fillId="0" borderId="53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/>
    </xf>
    <xf numFmtId="9" fontId="4" fillId="0" borderId="53" xfId="0" applyNumberFormat="1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9" fontId="4" fillId="0" borderId="53" xfId="0" applyNumberFormat="1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 wrapText="1"/>
    </xf>
    <xf numFmtId="4" fontId="4" fillId="0" borderId="66" xfId="0" applyNumberFormat="1" applyFont="1" applyFill="1" applyBorder="1" applyAlignment="1">
      <alignment horizontal="center" vertical="center" wrapText="1"/>
    </xf>
    <xf numFmtId="3" fontId="4" fillId="0" borderId="6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80" fontId="0" fillId="0" borderId="68" xfId="0" applyNumberFormat="1" applyFill="1" applyBorder="1" applyAlignment="1">
      <alignment horizontal="center"/>
    </xf>
    <xf numFmtId="0" fontId="0" fillId="0" borderId="38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80" fontId="0" fillId="0" borderId="37" xfId="0" applyNumberFormat="1" applyFill="1" applyBorder="1" applyAlignment="1">
      <alignment horizontal="center"/>
    </xf>
    <xf numFmtId="180" fontId="0" fillId="0" borderId="34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69" xfId="0" applyNumberFormat="1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" fillId="0" borderId="15" xfId="0" applyFont="1" applyBorder="1" applyAlignment="1">
      <alignment/>
    </xf>
    <xf numFmtId="0" fontId="10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8" xfId="0" applyFont="1" applyBorder="1" applyAlignment="1">
      <alignment horizontal="center"/>
    </xf>
    <xf numFmtId="2" fontId="11" fillId="0" borderId="10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/>
    </xf>
    <xf numFmtId="2" fontId="11" fillId="0" borderId="21" xfId="0" applyNumberFormat="1" applyFont="1" applyFill="1" applyBorder="1" applyAlignment="1">
      <alignment/>
    </xf>
    <xf numFmtId="2" fontId="11" fillId="0" borderId="22" xfId="0" applyNumberFormat="1" applyFont="1" applyFill="1" applyBorder="1" applyAlignment="1">
      <alignment/>
    </xf>
    <xf numFmtId="0" fontId="12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0" fillId="0" borderId="43" xfId="0" applyFill="1" applyBorder="1" applyAlignment="1">
      <alignment/>
    </xf>
    <xf numFmtId="0" fontId="0" fillId="0" borderId="31" xfId="0" applyFill="1" applyBorder="1" applyAlignment="1">
      <alignment/>
    </xf>
    <xf numFmtId="3" fontId="15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28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179" fontId="3" fillId="0" borderId="0" xfId="58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/>
    </xf>
    <xf numFmtId="181" fontId="3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11" fillId="0" borderId="14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2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1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2" fontId="3" fillId="0" borderId="21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36" borderId="14" xfId="0" applyFont="1" applyFill="1" applyBorder="1" applyAlignment="1">
      <alignment horizontal="center"/>
    </xf>
    <xf numFmtId="0" fontId="12" fillId="37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80" fontId="4" fillId="0" borderId="36" xfId="0" applyNumberFormat="1" applyFont="1" applyFill="1" applyBorder="1" applyAlignment="1">
      <alignment horizontal="center"/>
    </xf>
    <xf numFmtId="180" fontId="4" fillId="0" borderId="40" xfId="0" applyNumberFormat="1" applyFont="1" applyFill="1" applyBorder="1" applyAlignment="1">
      <alignment horizontal="center"/>
    </xf>
    <xf numFmtId="180" fontId="0" fillId="0" borderId="70" xfId="0" applyNumberFormat="1" applyFill="1" applyBorder="1" applyAlignment="1">
      <alignment horizontal="center"/>
    </xf>
    <xf numFmtId="180" fontId="0" fillId="0" borderId="46" xfId="0" applyNumberFormat="1" applyFill="1" applyBorder="1" applyAlignment="1">
      <alignment horizontal="center"/>
    </xf>
    <xf numFmtId="180" fontId="0" fillId="0" borderId="25" xfId="0" applyNumberFormat="1" applyFill="1" applyBorder="1" applyAlignment="1">
      <alignment horizontal="center"/>
    </xf>
    <xf numFmtId="180" fontId="0" fillId="0" borderId="38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12" fillId="0" borderId="23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8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22.7109375" style="0" customWidth="1"/>
    <col min="2" max="2" width="18.57421875" style="0" customWidth="1"/>
    <col min="3" max="4" width="18.7109375" style="0" customWidth="1"/>
    <col min="5" max="6" width="20.7109375" style="0" customWidth="1"/>
    <col min="7" max="7" width="18.8515625" style="0" customWidth="1"/>
  </cols>
  <sheetData>
    <row r="1" ht="18" customHeight="1"/>
    <row r="2" spans="1:7" ht="15">
      <c r="A2" s="1"/>
      <c r="B2" s="136" t="s">
        <v>496</v>
      </c>
      <c r="C2" s="1"/>
      <c r="D2" s="1"/>
      <c r="E2" s="1"/>
      <c r="F2" s="1"/>
      <c r="G2" s="1"/>
    </row>
    <row r="3" spans="1:7" ht="15">
      <c r="A3" s="1"/>
      <c r="B3" s="136"/>
      <c r="C3" s="577" t="s">
        <v>498</v>
      </c>
      <c r="D3" s="577"/>
      <c r="E3" s="1"/>
      <c r="F3" s="578" t="s">
        <v>407</v>
      </c>
      <c r="G3" s="578"/>
    </row>
    <row r="4" spans="1:7" ht="14.25">
      <c r="A4" s="137"/>
      <c r="B4" s="138"/>
      <c r="C4" s="139"/>
      <c r="D4" s="139"/>
      <c r="E4" s="140"/>
      <c r="F4" s="139"/>
      <c r="G4" s="501"/>
    </row>
    <row r="5" spans="1:7" ht="15">
      <c r="A5" s="141" t="s">
        <v>56</v>
      </c>
      <c r="B5" s="517" t="s">
        <v>410</v>
      </c>
      <c r="C5" s="579" t="s">
        <v>55</v>
      </c>
      <c r="D5" s="579"/>
      <c r="E5" s="580" t="s">
        <v>63</v>
      </c>
      <c r="F5" s="579"/>
      <c r="G5" s="141" t="s">
        <v>406</v>
      </c>
    </row>
    <row r="6" spans="1:7" ht="14.25">
      <c r="A6" s="143"/>
      <c r="B6" s="518" t="s">
        <v>411</v>
      </c>
      <c r="C6" s="144"/>
      <c r="D6" s="144"/>
      <c r="E6" s="145"/>
      <c r="F6" s="507"/>
      <c r="G6" s="143"/>
    </row>
    <row r="7" spans="1:7" ht="14.25">
      <c r="A7" s="143"/>
      <c r="B7" s="518" t="s">
        <v>412</v>
      </c>
      <c r="C7" s="147"/>
      <c r="D7" s="148"/>
      <c r="E7" s="140"/>
      <c r="F7" s="140"/>
      <c r="G7" s="143"/>
    </row>
    <row r="8" spans="1:7" ht="15">
      <c r="A8" s="149"/>
      <c r="B8" s="519"/>
      <c r="C8" s="150" t="s">
        <v>52</v>
      </c>
      <c r="D8" s="151" t="s">
        <v>53</v>
      </c>
      <c r="E8" s="152" t="s">
        <v>52</v>
      </c>
      <c r="F8" s="152" t="s">
        <v>53</v>
      </c>
      <c r="G8" s="149"/>
    </row>
    <row r="9" spans="1:11" ht="14.25">
      <c r="A9" s="140"/>
      <c r="B9" s="137"/>
      <c r="C9" s="551"/>
      <c r="D9" s="552"/>
      <c r="E9" s="551"/>
      <c r="F9" s="552"/>
      <c r="G9" s="553" t="s">
        <v>398</v>
      </c>
      <c r="H9" s="80"/>
      <c r="I9" s="80"/>
      <c r="J9" s="80"/>
      <c r="K9" s="80"/>
    </row>
    <row r="10" spans="1:11" ht="15">
      <c r="A10" s="514" t="s">
        <v>2</v>
      </c>
      <c r="B10" s="141" t="s">
        <v>413</v>
      </c>
      <c r="C10" s="182">
        <f>D10/1.18</f>
        <v>2</v>
      </c>
      <c r="D10" s="183">
        <v>2.36</v>
      </c>
      <c r="E10" s="182">
        <v>20</v>
      </c>
      <c r="F10" s="183">
        <f>E10*1.18</f>
        <v>23.599999999999998</v>
      </c>
      <c r="G10" s="520" t="s">
        <v>499</v>
      </c>
      <c r="H10" s="80"/>
      <c r="I10" s="80"/>
      <c r="J10" s="80"/>
      <c r="K10" s="80"/>
    </row>
    <row r="11" spans="1:11" ht="15">
      <c r="A11" s="514"/>
      <c r="B11" s="141"/>
      <c r="C11" s="182"/>
      <c r="D11" s="183"/>
      <c r="E11" s="550" t="s">
        <v>495</v>
      </c>
      <c r="F11" s="183"/>
      <c r="G11" s="520" t="s">
        <v>500</v>
      </c>
      <c r="H11" s="80"/>
      <c r="I11" s="80"/>
      <c r="J11" s="80"/>
      <c r="K11" s="80"/>
    </row>
    <row r="12" spans="1:11" ht="15">
      <c r="A12" s="514"/>
      <c r="B12" s="141"/>
      <c r="C12" s="182"/>
      <c r="D12" s="183"/>
      <c r="E12" s="549">
        <v>35.571</v>
      </c>
      <c r="F12" s="183"/>
      <c r="G12" s="520"/>
      <c r="H12" s="80"/>
      <c r="I12" s="80"/>
      <c r="J12" s="80"/>
      <c r="K12" s="80"/>
    </row>
    <row r="13" spans="1:11" ht="15">
      <c r="A13" s="515"/>
      <c r="B13" s="156"/>
      <c r="C13" s="184"/>
      <c r="D13" s="185"/>
      <c r="E13" s="184"/>
      <c r="F13" s="185"/>
      <c r="G13" s="521" t="s">
        <v>398</v>
      </c>
      <c r="H13" s="80"/>
      <c r="I13" s="80"/>
      <c r="J13" s="80"/>
      <c r="K13" s="80"/>
    </row>
    <row r="14" spans="1:11" ht="15">
      <c r="A14" s="514" t="s">
        <v>69</v>
      </c>
      <c r="B14" s="141" t="s">
        <v>58</v>
      </c>
      <c r="C14" s="182">
        <f>D14/1.18</f>
        <v>932.2033898305085</v>
      </c>
      <c r="D14" s="183">
        <v>1100</v>
      </c>
      <c r="E14" s="182">
        <v>12900</v>
      </c>
      <c r="F14" s="183">
        <f>E14*1.18</f>
        <v>15222</v>
      </c>
      <c r="G14" s="520" t="s">
        <v>501</v>
      </c>
      <c r="H14" s="80"/>
      <c r="I14" s="80"/>
      <c r="J14" s="80"/>
      <c r="K14" s="80"/>
    </row>
    <row r="15" spans="1:11" ht="15">
      <c r="A15" s="514"/>
      <c r="B15" s="160"/>
      <c r="C15" s="182"/>
      <c r="D15" s="183"/>
      <c r="E15" s="182"/>
      <c r="F15" s="183"/>
      <c r="G15" s="520"/>
      <c r="H15" s="80"/>
      <c r="I15" s="80"/>
      <c r="J15" s="80"/>
      <c r="K15" s="80"/>
    </row>
    <row r="16" spans="1:11" ht="15">
      <c r="A16" s="514"/>
      <c r="B16" s="141"/>
      <c r="C16" s="182"/>
      <c r="D16" s="183"/>
      <c r="E16" s="182"/>
      <c r="F16" s="183"/>
      <c r="G16" s="554"/>
      <c r="H16" s="80"/>
      <c r="I16" s="80"/>
      <c r="J16" s="80"/>
      <c r="K16" s="80"/>
    </row>
    <row r="17" spans="1:11" ht="15">
      <c r="A17" s="515"/>
      <c r="B17" s="156"/>
      <c r="C17" s="184"/>
      <c r="D17" s="185"/>
      <c r="E17" s="184"/>
      <c r="F17" s="185"/>
      <c r="G17" s="521" t="s">
        <v>398</v>
      </c>
      <c r="H17" s="80"/>
      <c r="I17" s="80"/>
      <c r="J17" s="80"/>
      <c r="K17" s="80"/>
    </row>
    <row r="18" spans="1:11" ht="15">
      <c r="A18" s="514" t="s">
        <v>16</v>
      </c>
      <c r="B18" s="141" t="s">
        <v>65</v>
      </c>
      <c r="C18" s="182">
        <f>D18/1.18</f>
        <v>127.11864406779662</v>
      </c>
      <c r="D18" s="183">
        <v>150</v>
      </c>
      <c r="E18" s="182">
        <v>622</v>
      </c>
      <c r="F18" s="183">
        <f>E18*1.18</f>
        <v>733.9599999999999</v>
      </c>
      <c r="G18" s="520" t="s">
        <v>504</v>
      </c>
      <c r="H18" s="80"/>
      <c r="I18" s="80"/>
      <c r="J18" s="80"/>
      <c r="K18" s="80"/>
    </row>
    <row r="19" spans="1:11" ht="15">
      <c r="A19" s="514"/>
      <c r="B19" s="159"/>
      <c r="C19" s="182"/>
      <c r="D19" s="183"/>
      <c r="E19" s="182"/>
      <c r="F19" s="183"/>
      <c r="G19" s="520"/>
      <c r="H19" s="80"/>
      <c r="I19" s="80"/>
      <c r="J19" s="80"/>
      <c r="K19" s="80"/>
    </row>
    <row r="20" spans="1:11" ht="15">
      <c r="A20" s="514"/>
      <c r="B20" s="160"/>
      <c r="C20" s="182"/>
      <c r="D20" s="183"/>
      <c r="E20" s="182"/>
      <c r="F20" s="183"/>
      <c r="G20" s="554"/>
      <c r="H20" s="80"/>
      <c r="I20" s="80"/>
      <c r="J20" s="80"/>
      <c r="K20" s="80"/>
    </row>
    <row r="21" spans="1:11" ht="14.25">
      <c r="A21" s="515"/>
      <c r="B21" s="156"/>
      <c r="C21" s="186"/>
      <c r="D21" s="187"/>
      <c r="E21" s="509"/>
      <c r="F21" s="510"/>
      <c r="G21" s="521" t="s">
        <v>398</v>
      </c>
      <c r="H21" s="80"/>
      <c r="I21" s="80"/>
      <c r="J21" s="80"/>
      <c r="K21" s="80"/>
    </row>
    <row r="22" spans="1:11" ht="15">
      <c r="A22" s="514" t="s">
        <v>467</v>
      </c>
      <c r="B22" s="141" t="s">
        <v>65</v>
      </c>
      <c r="C22" s="182">
        <f>D22/1.18</f>
        <v>127.11864406779662</v>
      </c>
      <c r="D22" s="183">
        <v>150</v>
      </c>
      <c r="E22" s="182">
        <v>622</v>
      </c>
      <c r="F22" s="183">
        <f>E22*1.18</f>
        <v>733.9599999999999</v>
      </c>
      <c r="G22" s="520" t="s">
        <v>506</v>
      </c>
      <c r="H22" s="80"/>
      <c r="I22" s="80"/>
      <c r="J22" s="80"/>
      <c r="K22" s="80"/>
    </row>
    <row r="23" spans="1:11" ht="15">
      <c r="A23" s="514"/>
      <c r="B23" s="159"/>
      <c r="C23" s="182"/>
      <c r="D23" s="183"/>
      <c r="E23" s="511"/>
      <c r="F23" s="512"/>
      <c r="G23" s="520"/>
      <c r="H23" s="80"/>
      <c r="I23" s="80"/>
      <c r="J23" s="80"/>
      <c r="K23" s="80"/>
    </row>
    <row r="24" spans="1:11" ht="15">
      <c r="A24" s="514"/>
      <c r="B24" s="160"/>
      <c r="C24" s="182"/>
      <c r="D24" s="183"/>
      <c r="E24" s="182"/>
      <c r="F24" s="191"/>
      <c r="G24" s="554"/>
      <c r="H24" s="80"/>
      <c r="I24" s="80"/>
      <c r="J24" s="80"/>
      <c r="K24" s="80"/>
    </row>
    <row r="25" spans="1:11" ht="15">
      <c r="A25" s="582" t="s">
        <v>503</v>
      </c>
      <c r="B25" s="156"/>
      <c r="C25" s="184"/>
      <c r="D25" s="185"/>
      <c r="E25" s="184"/>
      <c r="F25" s="185"/>
      <c r="G25" s="521" t="s">
        <v>398</v>
      </c>
      <c r="H25" s="80"/>
      <c r="I25" s="80"/>
      <c r="J25" s="80"/>
      <c r="K25" s="80"/>
    </row>
    <row r="26" spans="1:11" ht="15">
      <c r="A26" s="583"/>
      <c r="B26" s="141" t="s">
        <v>65</v>
      </c>
      <c r="C26" s="182">
        <f>D26/1.18</f>
        <v>175.59322033898306</v>
      </c>
      <c r="D26" s="183">
        <v>207.2</v>
      </c>
      <c r="E26" s="182">
        <v>1292.8</v>
      </c>
      <c r="F26" s="183">
        <f>E26*1.18</f>
        <v>1525.504</v>
      </c>
      <c r="G26" s="520" t="s">
        <v>505</v>
      </c>
      <c r="H26" s="80"/>
      <c r="I26" s="80"/>
      <c r="J26" s="80"/>
      <c r="K26" s="80"/>
    </row>
    <row r="27" spans="1:11" ht="15">
      <c r="A27" s="583"/>
      <c r="B27" s="159"/>
      <c r="C27" s="182"/>
      <c r="D27" s="183"/>
      <c r="E27" s="182"/>
      <c r="F27" s="183"/>
      <c r="G27" s="520"/>
      <c r="H27" s="80"/>
      <c r="I27" s="80"/>
      <c r="J27" s="80"/>
      <c r="K27" s="80"/>
    </row>
    <row r="28" spans="1:11" ht="15">
      <c r="A28" s="584"/>
      <c r="B28" s="160"/>
      <c r="C28" s="182"/>
      <c r="D28" s="183"/>
      <c r="E28" s="182"/>
      <c r="F28" s="183"/>
      <c r="G28" s="554"/>
      <c r="H28" s="80"/>
      <c r="I28" s="80"/>
      <c r="J28" s="80"/>
      <c r="K28" s="80"/>
    </row>
    <row r="29" spans="1:11" ht="15">
      <c r="A29" s="582" t="s">
        <v>502</v>
      </c>
      <c r="B29" s="156"/>
      <c r="C29" s="184"/>
      <c r="D29" s="185"/>
      <c r="E29" s="184"/>
      <c r="F29" s="185"/>
      <c r="G29" s="521" t="s">
        <v>398</v>
      </c>
      <c r="H29" s="80"/>
      <c r="I29" s="80"/>
      <c r="J29" s="80"/>
      <c r="K29" s="80"/>
    </row>
    <row r="30" spans="1:11" ht="15">
      <c r="A30" s="583"/>
      <c r="B30" s="141" t="s">
        <v>65</v>
      </c>
      <c r="C30" s="182">
        <f>D30/1.18</f>
        <v>183.05084745762713</v>
      </c>
      <c r="D30" s="183">
        <v>216</v>
      </c>
      <c r="E30" s="182">
        <v>1396</v>
      </c>
      <c r="F30" s="183">
        <f>E30*1.18</f>
        <v>1647.28</v>
      </c>
      <c r="G30" s="520" t="s">
        <v>504</v>
      </c>
      <c r="H30" s="80"/>
      <c r="I30" s="80"/>
      <c r="J30" s="80"/>
      <c r="K30" s="80"/>
    </row>
    <row r="31" spans="1:11" ht="15">
      <c r="A31" s="583"/>
      <c r="B31" s="159"/>
      <c r="C31" s="182"/>
      <c r="D31" s="183"/>
      <c r="E31" s="182"/>
      <c r="F31" s="183"/>
      <c r="G31" s="520"/>
      <c r="H31" s="80"/>
      <c r="I31" s="80"/>
      <c r="J31" s="80"/>
      <c r="K31" s="80"/>
    </row>
    <row r="32" spans="1:11" ht="15">
      <c r="A32" s="584"/>
      <c r="B32" s="160"/>
      <c r="C32" s="182"/>
      <c r="D32" s="183"/>
      <c r="E32" s="182"/>
      <c r="F32" s="183"/>
      <c r="G32" s="554"/>
      <c r="H32" s="80"/>
      <c r="I32" s="80"/>
      <c r="J32" s="80"/>
      <c r="K32" s="80"/>
    </row>
    <row r="33" spans="1:11" ht="15">
      <c r="A33" s="515"/>
      <c r="B33" s="156"/>
      <c r="C33" s="184"/>
      <c r="D33" s="185"/>
      <c r="E33" s="184"/>
      <c r="F33" s="185"/>
      <c r="G33" s="521" t="s">
        <v>398</v>
      </c>
      <c r="H33" s="80"/>
      <c r="I33" s="80"/>
      <c r="J33" s="80"/>
      <c r="K33" s="80"/>
    </row>
    <row r="34" spans="1:11" ht="15">
      <c r="A34" s="514" t="s">
        <v>11</v>
      </c>
      <c r="B34" s="141" t="s">
        <v>61</v>
      </c>
      <c r="C34" s="182">
        <f>D34/1.18</f>
        <v>13.271186440677967</v>
      </c>
      <c r="D34" s="183">
        <v>15.66</v>
      </c>
      <c r="E34" s="182">
        <v>13.27</v>
      </c>
      <c r="F34" s="183">
        <f>E34*1.18</f>
        <v>15.658599999999998</v>
      </c>
      <c r="G34" s="520" t="s">
        <v>504</v>
      </c>
      <c r="H34" s="80"/>
      <c r="I34" s="80"/>
      <c r="J34" s="80"/>
      <c r="K34" s="80"/>
    </row>
    <row r="35" spans="1:11" ht="15">
      <c r="A35" s="514"/>
      <c r="B35" s="141"/>
      <c r="C35" s="182"/>
      <c r="D35" s="183"/>
      <c r="E35" s="182"/>
      <c r="F35" s="183"/>
      <c r="G35" s="520"/>
      <c r="H35" s="80"/>
      <c r="I35" s="80"/>
      <c r="J35" s="80"/>
      <c r="K35" s="80"/>
    </row>
    <row r="36" spans="1:11" ht="15">
      <c r="A36" s="516"/>
      <c r="B36" s="165"/>
      <c r="C36" s="555"/>
      <c r="D36" s="191"/>
      <c r="E36" s="190"/>
      <c r="F36" s="191"/>
      <c r="G36" s="554"/>
      <c r="H36" s="80"/>
      <c r="I36" s="80"/>
      <c r="J36" s="80"/>
      <c r="K36" s="80"/>
    </row>
    <row r="37" spans="1:11" ht="15">
      <c r="A37" s="140"/>
      <c r="B37" s="156"/>
      <c r="C37" s="184"/>
      <c r="D37" s="185"/>
      <c r="E37" s="184"/>
      <c r="F37" s="185"/>
      <c r="G37" s="521" t="s">
        <v>201</v>
      </c>
      <c r="H37" s="80"/>
      <c r="I37" s="80"/>
      <c r="J37" s="80"/>
      <c r="K37" s="80"/>
    </row>
    <row r="38" spans="1:11" ht="15">
      <c r="A38" s="514" t="s">
        <v>12</v>
      </c>
      <c r="B38" s="141" t="s">
        <v>68</v>
      </c>
      <c r="C38" s="182">
        <f>D38/1.18</f>
        <v>25.423728813559322</v>
      </c>
      <c r="D38" s="183">
        <v>30</v>
      </c>
      <c r="E38" s="182">
        <v>25.42</v>
      </c>
      <c r="F38" s="183">
        <v>30</v>
      </c>
      <c r="G38" s="575" t="s">
        <v>507</v>
      </c>
      <c r="H38" s="80"/>
      <c r="I38" s="80"/>
      <c r="J38" s="80"/>
      <c r="K38" s="80"/>
    </row>
    <row r="39" spans="1:11" ht="15">
      <c r="A39" s="514" t="s">
        <v>13</v>
      </c>
      <c r="B39" s="141"/>
      <c r="C39" s="182"/>
      <c r="D39" s="183"/>
      <c r="E39" s="182"/>
      <c r="F39" s="183"/>
      <c r="G39" s="576" t="s">
        <v>508</v>
      </c>
      <c r="H39" s="80"/>
      <c r="I39" s="80"/>
      <c r="J39" s="80"/>
      <c r="K39" s="80"/>
    </row>
    <row r="40" spans="1:11" ht="15">
      <c r="A40" s="140"/>
      <c r="B40" s="137"/>
      <c r="C40" s="556"/>
      <c r="D40" s="557"/>
      <c r="E40" s="556"/>
      <c r="F40" s="557"/>
      <c r="G40" s="521" t="s">
        <v>201</v>
      </c>
      <c r="H40" s="80"/>
      <c r="I40" s="80"/>
      <c r="J40" s="80"/>
      <c r="K40" s="80"/>
    </row>
    <row r="41" spans="1:11" ht="15">
      <c r="A41" s="153" t="s">
        <v>108</v>
      </c>
      <c r="B41" s="141" t="s">
        <v>57</v>
      </c>
      <c r="C41" s="182">
        <v>7.04</v>
      </c>
      <c r="D41" s="183"/>
      <c r="E41" s="182">
        <v>7.04</v>
      </c>
      <c r="F41" s="183"/>
      <c r="G41" s="575" t="s">
        <v>469</v>
      </c>
      <c r="H41" s="80"/>
      <c r="I41" s="80"/>
      <c r="J41" s="80"/>
      <c r="K41" s="80"/>
    </row>
    <row r="42" spans="1:11" ht="14.25">
      <c r="A42" s="145"/>
      <c r="B42" s="166"/>
      <c r="C42" s="558"/>
      <c r="D42" s="559"/>
      <c r="E42" s="558"/>
      <c r="F42" s="559"/>
      <c r="G42" s="628" t="s">
        <v>508</v>
      </c>
      <c r="H42" s="80"/>
      <c r="I42" s="80"/>
      <c r="J42" s="80"/>
      <c r="K42" s="80"/>
    </row>
    <row r="43" spans="3:11" ht="12.75"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15">
      <c r="A44" s="1"/>
      <c r="B44" s="136" t="s">
        <v>496</v>
      </c>
      <c r="C44" s="560"/>
      <c r="D44" s="560"/>
      <c r="E44" s="560"/>
      <c r="F44" s="560"/>
      <c r="G44" s="560"/>
      <c r="H44" s="80"/>
      <c r="I44" s="80"/>
      <c r="J44" s="80"/>
      <c r="K44" s="80"/>
    </row>
    <row r="45" spans="1:11" ht="15">
      <c r="A45" s="1"/>
      <c r="B45" s="136"/>
      <c r="C45" s="581" t="s">
        <v>497</v>
      </c>
      <c r="D45" s="581"/>
      <c r="E45" s="560"/>
      <c r="F45" s="581" t="s">
        <v>407</v>
      </c>
      <c r="G45" s="581"/>
      <c r="H45" s="80"/>
      <c r="I45" s="80"/>
      <c r="J45" s="80"/>
      <c r="K45" s="80"/>
    </row>
    <row r="46" spans="1:11" ht="14.25">
      <c r="A46" s="137"/>
      <c r="B46" s="138"/>
      <c r="C46" s="551"/>
      <c r="D46" s="551"/>
      <c r="E46" s="562"/>
      <c r="F46" s="551"/>
      <c r="G46" s="563"/>
      <c r="H46" s="80"/>
      <c r="I46" s="80"/>
      <c r="J46" s="80"/>
      <c r="K46" s="80"/>
    </row>
    <row r="47" spans="1:11" ht="15">
      <c r="A47" s="141" t="s">
        <v>56</v>
      </c>
      <c r="B47" s="517" t="s">
        <v>410</v>
      </c>
      <c r="C47" s="585" t="s">
        <v>55</v>
      </c>
      <c r="D47" s="585"/>
      <c r="E47" s="586" t="s">
        <v>63</v>
      </c>
      <c r="F47" s="585"/>
      <c r="G47" s="564" t="s">
        <v>406</v>
      </c>
      <c r="H47" s="80"/>
      <c r="I47" s="80"/>
      <c r="J47" s="80"/>
      <c r="K47" s="80"/>
    </row>
    <row r="48" spans="1:11" ht="14.25">
      <c r="A48" s="143"/>
      <c r="B48" s="518" t="s">
        <v>411</v>
      </c>
      <c r="C48" s="565"/>
      <c r="D48" s="565"/>
      <c r="E48" s="566"/>
      <c r="F48" s="567"/>
      <c r="G48" s="568"/>
      <c r="H48" s="80"/>
      <c r="I48" s="80"/>
      <c r="J48" s="80"/>
      <c r="K48" s="80"/>
    </row>
    <row r="49" spans="1:11" ht="14.25">
      <c r="A49" s="143"/>
      <c r="B49" s="518" t="s">
        <v>412</v>
      </c>
      <c r="C49" s="569"/>
      <c r="D49" s="570"/>
      <c r="E49" s="562"/>
      <c r="F49" s="562"/>
      <c r="G49" s="568"/>
      <c r="H49" s="80"/>
      <c r="I49" s="80"/>
      <c r="J49" s="80"/>
      <c r="K49" s="80"/>
    </row>
    <row r="50" spans="1:11" ht="15">
      <c r="A50" s="149"/>
      <c r="B50" s="519"/>
      <c r="C50" s="561" t="s">
        <v>52</v>
      </c>
      <c r="D50" s="571" t="s">
        <v>53</v>
      </c>
      <c r="E50" s="572" t="s">
        <v>52</v>
      </c>
      <c r="F50" s="572" t="s">
        <v>53</v>
      </c>
      <c r="G50" s="573"/>
      <c r="H50" s="80"/>
      <c r="I50" s="80"/>
      <c r="J50" s="80"/>
      <c r="K50" s="80"/>
    </row>
    <row r="51" spans="1:11" ht="14.25">
      <c r="A51" s="140"/>
      <c r="B51" s="137"/>
      <c r="C51" s="551"/>
      <c r="D51" s="552"/>
      <c r="E51" s="551"/>
      <c r="F51" s="552"/>
      <c r="G51" s="553" t="s">
        <v>398</v>
      </c>
      <c r="H51" s="80"/>
      <c r="I51" s="80"/>
      <c r="J51" s="80"/>
      <c r="K51" s="80"/>
    </row>
    <row r="52" spans="1:11" ht="15">
      <c r="A52" s="514" t="s">
        <v>2</v>
      </c>
      <c r="B52" s="141" t="s">
        <v>413</v>
      </c>
      <c r="C52" s="182">
        <f>D52/1.18</f>
        <v>2.2542372881355934</v>
      </c>
      <c r="D52" s="183">
        <v>2.66</v>
      </c>
      <c r="E52" s="182">
        <v>22</v>
      </c>
      <c r="F52" s="183">
        <f>E52*1.18</f>
        <v>25.959999999999997</v>
      </c>
      <c r="G52" s="520" t="s">
        <v>499</v>
      </c>
      <c r="H52" s="80"/>
      <c r="I52" s="80"/>
      <c r="J52" s="80"/>
      <c r="K52" s="80"/>
    </row>
    <row r="53" spans="1:11" ht="15">
      <c r="A53" s="514"/>
      <c r="B53" s="141"/>
      <c r="C53" s="182"/>
      <c r="D53" s="183"/>
      <c r="E53" s="550" t="s">
        <v>495</v>
      </c>
      <c r="F53" s="183"/>
      <c r="G53" s="520" t="s">
        <v>500</v>
      </c>
      <c r="H53" s="80"/>
      <c r="I53" s="80"/>
      <c r="J53" s="80"/>
      <c r="K53" s="80"/>
    </row>
    <row r="54" spans="1:11" ht="15">
      <c r="A54" s="514"/>
      <c r="B54" s="141"/>
      <c r="C54" s="182"/>
      <c r="D54" s="183"/>
      <c r="E54" s="549">
        <v>35.571</v>
      </c>
      <c r="F54" s="183"/>
      <c r="G54" s="520"/>
      <c r="H54" s="80"/>
      <c r="I54" s="80"/>
      <c r="J54" s="80"/>
      <c r="K54" s="80"/>
    </row>
    <row r="55" spans="1:11" ht="15">
      <c r="A55" s="515"/>
      <c r="B55" s="156"/>
      <c r="C55" s="184"/>
      <c r="D55" s="185"/>
      <c r="E55" s="184"/>
      <c r="F55" s="185"/>
      <c r="G55" s="521" t="s">
        <v>398</v>
      </c>
      <c r="H55" s="80"/>
      <c r="I55" s="80"/>
      <c r="J55" s="80"/>
      <c r="K55" s="80"/>
    </row>
    <row r="56" spans="1:11" ht="15">
      <c r="A56" s="514" t="s">
        <v>69</v>
      </c>
      <c r="B56" s="141" t="s">
        <v>58</v>
      </c>
      <c r="C56" s="182">
        <f>D56/1.18</f>
        <v>932.2033898305085</v>
      </c>
      <c r="D56" s="183">
        <v>1100</v>
      </c>
      <c r="E56" s="182">
        <v>15271</v>
      </c>
      <c r="F56" s="183">
        <f>E56*1.18</f>
        <v>18019.78</v>
      </c>
      <c r="G56" s="520" t="s">
        <v>501</v>
      </c>
      <c r="H56" s="80"/>
      <c r="I56" s="80"/>
      <c r="J56" s="80"/>
      <c r="K56" s="80"/>
    </row>
    <row r="57" spans="1:11" ht="15">
      <c r="A57" s="514"/>
      <c r="B57" s="160"/>
      <c r="C57" s="182"/>
      <c r="D57" s="183"/>
      <c r="E57" s="545"/>
      <c r="F57" s="183"/>
      <c r="G57" s="520"/>
      <c r="H57" s="80"/>
      <c r="I57" s="80"/>
      <c r="J57" s="80"/>
      <c r="K57" s="80"/>
    </row>
    <row r="58" spans="1:11" ht="15">
      <c r="A58" s="514"/>
      <c r="B58" s="141"/>
      <c r="C58" s="182"/>
      <c r="D58" s="183"/>
      <c r="E58" s="182"/>
      <c r="F58" s="183"/>
      <c r="G58" s="554"/>
      <c r="H58" s="80"/>
      <c r="I58" s="80"/>
      <c r="J58" s="80"/>
      <c r="K58" s="80"/>
    </row>
    <row r="59" spans="1:11" ht="15">
      <c r="A59" s="515"/>
      <c r="B59" s="156"/>
      <c r="C59" s="184"/>
      <c r="D59" s="185"/>
      <c r="E59" s="184"/>
      <c r="F59" s="185"/>
      <c r="G59" s="521" t="s">
        <v>398</v>
      </c>
      <c r="H59" s="80"/>
      <c r="I59" s="80"/>
      <c r="J59" s="80"/>
      <c r="K59" s="80"/>
    </row>
    <row r="60" spans="1:11" ht="15">
      <c r="A60" s="514" t="s">
        <v>16</v>
      </c>
      <c r="B60" s="141" t="s">
        <v>65</v>
      </c>
      <c r="C60" s="182">
        <f>D60/1.18</f>
        <v>127.11864406779662</v>
      </c>
      <c r="D60" s="183">
        <v>150</v>
      </c>
      <c r="E60" s="182">
        <v>622</v>
      </c>
      <c r="F60" s="183">
        <f>E60*1.18</f>
        <v>733.9599999999999</v>
      </c>
      <c r="G60" s="520" t="s">
        <v>504</v>
      </c>
      <c r="H60" s="80"/>
      <c r="I60" s="80"/>
      <c r="J60" s="80"/>
      <c r="K60" s="80"/>
    </row>
    <row r="61" spans="1:11" ht="15">
      <c r="A61" s="514"/>
      <c r="B61" s="159"/>
      <c r="C61" s="182"/>
      <c r="D61" s="183"/>
      <c r="E61" s="182"/>
      <c r="F61" s="183"/>
      <c r="G61" s="520"/>
      <c r="H61" s="80"/>
      <c r="I61" s="80"/>
      <c r="J61" s="80"/>
      <c r="K61" s="80"/>
    </row>
    <row r="62" spans="1:11" ht="15">
      <c r="A62" s="514"/>
      <c r="B62" s="160"/>
      <c r="C62" s="182"/>
      <c r="D62" s="183"/>
      <c r="E62" s="182"/>
      <c r="F62" s="183"/>
      <c r="G62" s="554"/>
      <c r="H62" s="80"/>
      <c r="I62" s="80"/>
      <c r="J62" s="80"/>
      <c r="K62" s="80"/>
    </row>
    <row r="63" spans="1:11" ht="14.25">
      <c r="A63" s="515"/>
      <c r="B63" s="156"/>
      <c r="C63" s="186"/>
      <c r="D63" s="187"/>
      <c r="E63" s="509"/>
      <c r="F63" s="510"/>
      <c r="G63" s="521" t="s">
        <v>398</v>
      </c>
      <c r="H63" s="80"/>
      <c r="I63" s="80"/>
      <c r="J63" s="80"/>
      <c r="K63" s="80"/>
    </row>
    <row r="64" spans="1:11" ht="15">
      <c r="A64" s="514" t="s">
        <v>467</v>
      </c>
      <c r="B64" s="141" t="s">
        <v>65</v>
      </c>
      <c r="C64" s="182">
        <f>D64/1.18</f>
        <v>127.11864406779662</v>
      </c>
      <c r="D64" s="183">
        <v>150</v>
      </c>
      <c r="E64" s="182">
        <v>622</v>
      </c>
      <c r="F64" s="183">
        <f>E64*1.18</f>
        <v>733.9599999999999</v>
      </c>
      <c r="G64" s="520" t="s">
        <v>506</v>
      </c>
      <c r="H64" s="80"/>
      <c r="I64" s="80"/>
      <c r="J64" s="80"/>
      <c r="K64" s="80"/>
    </row>
    <row r="65" spans="1:11" ht="15">
      <c r="A65" s="514"/>
      <c r="B65" s="159"/>
      <c r="C65" s="182"/>
      <c r="D65" s="183"/>
      <c r="E65" s="511"/>
      <c r="F65" s="512"/>
      <c r="G65" s="520"/>
      <c r="H65" s="80"/>
      <c r="I65" s="80"/>
      <c r="J65" s="80"/>
      <c r="K65" s="80"/>
    </row>
    <row r="66" spans="1:11" ht="15">
      <c r="A66" s="514"/>
      <c r="B66" s="160"/>
      <c r="C66" s="182"/>
      <c r="D66" s="183"/>
      <c r="E66" s="182"/>
      <c r="F66" s="191"/>
      <c r="G66" s="554"/>
      <c r="H66" s="80"/>
      <c r="I66" s="80"/>
      <c r="J66" s="80"/>
      <c r="K66" s="80"/>
    </row>
    <row r="67" spans="1:11" ht="15">
      <c r="A67" s="582" t="s">
        <v>503</v>
      </c>
      <c r="B67" s="156"/>
      <c r="C67" s="184"/>
      <c r="D67" s="185"/>
      <c r="E67" s="184"/>
      <c r="F67" s="185"/>
      <c r="G67" s="521" t="s">
        <v>398</v>
      </c>
      <c r="H67" s="80"/>
      <c r="I67" s="80"/>
      <c r="J67" s="80"/>
      <c r="K67" s="80"/>
    </row>
    <row r="68" spans="1:11" ht="15">
      <c r="A68" s="583"/>
      <c r="B68" s="141" t="s">
        <v>65</v>
      </c>
      <c r="C68" s="182">
        <f>D68/1.18</f>
        <v>175.59322033898306</v>
      </c>
      <c r="D68" s="183">
        <v>207.2</v>
      </c>
      <c r="E68" s="182">
        <v>1416.09</v>
      </c>
      <c r="F68" s="183">
        <f>E68*1.18</f>
        <v>1670.9861999999998</v>
      </c>
      <c r="G68" s="520" t="s">
        <v>505</v>
      </c>
      <c r="H68" s="80"/>
      <c r="I68" s="80"/>
      <c r="J68" s="80"/>
      <c r="K68" s="80"/>
    </row>
    <row r="69" spans="1:11" ht="15">
      <c r="A69" s="583"/>
      <c r="B69" s="159"/>
      <c r="C69" s="182"/>
      <c r="D69" s="183"/>
      <c r="E69" s="182"/>
      <c r="F69" s="183"/>
      <c r="G69" s="520"/>
      <c r="H69" s="80"/>
      <c r="I69" s="80"/>
      <c r="J69" s="80"/>
      <c r="K69" s="80"/>
    </row>
    <row r="70" spans="1:11" ht="15">
      <c r="A70" s="584"/>
      <c r="B70" s="160"/>
      <c r="C70" s="182"/>
      <c r="D70" s="183"/>
      <c r="E70" s="182"/>
      <c r="F70" s="183"/>
      <c r="G70" s="554"/>
      <c r="H70" s="80"/>
      <c r="I70" s="80"/>
      <c r="J70" s="80"/>
      <c r="K70" s="80"/>
    </row>
    <row r="71" spans="1:11" ht="15">
      <c r="A71" s="582" t="s">
        <v>502</v>
      </c>
      <c r="B71" s="156"/>
      <c r="C71" s="184"/>
      <c r="D71" s="185"/>
      <c r="E71" s="184"/>
      <c r="F71" s="185"/>
      <c r="G71" s="521" t="s">
        <v>398</v>
      </c>
      <c r="H71" s="80"/>
      <c r="I71" s="80"/>
      <c r="J71" s="80"/>
      <c r="K71" s="80"/>
    </row>
    <row r="72" spans="1:11" ht="15">
      <c r="A72" s="583"/>
      <c r="B72" s="141" t="s">
        <v>65</v>
      </c>
      <c r="C72" s="182">
        <f>D72/1.18</f>
        <v>183.05084745762713</v>
      </c>
      <c r="D72" s="183">
        <v>216</v>
      </c>
      <c r="E72" s="182">
        <v>1538</v>
      </c>
      <c r="F72" s="183">
        <f>E72*1.18</f>
        <v>1814.84</v>
      </c>
      <c r="G72" s="520" t="s">
        <v>504</v>
      </c>
      <c r="H72" s="80"/>
      <c r="I72" s="80"/>
      <c r="J72" s="80"/>
      <c r="K72" s="80"/>
    </row>
    <row r="73" spans="1:11" ht="15">
      <c r="A73" s="583"/>
      <c r="B73" s="159"/>
      <c r="C73" s="182"/>
      <c r="D73" s="183"/>
      <c r="E73" s="182"/>
      <c r="F73" s="183"/>
      <c r="G73" s="520"/>
      <c r="H73" s="80"/>
      <c r="I73" s="80"/>
      <c r="J73" s="80"/>
      <c r="K73" s="80"/>
    </row>
    <row r="74" spans="1:11" ht="15">
      <c r="A74" s="584"/>
      <c r="B74" s="160"/>
      <c r="C74" s="182"/>
      <c r="D74" s="183"/>
      <c r="E74" s="182"/>
      <c r="F74" s="183"/>
      <c r="G74" s="554"/>
      <c r="H74" s="80"/>
      <c r="I74" s="80"/>
      <c r="J74" s="80"/>
      <c r="K74" s="80"/>
    </row>
    <row r="75" spans="1:11" ht="15">
      <c r="A75" s="515"/>
      <c r="B75" s="156"/>
      <c r="C75" s="184"/>
      <c r="D75" s="185"/>
      <c r="E75" s="184"/>
      <c r="F75" s="185"/>
      <c r="G75" s="521" t="s">
        <v>398</v>
      </c>
      <c r="H75" s="80"/>
      <c r="I75" s="80"/>
      <c r="J75" s="80"/>
      <c r="K75" s="80"/>
    </row>
    <row r="76" spans="1:11" ht="15">
      <c r="A76" s="514" t="s">
        <v>11</v>
      </c>
      <c r="B76" s="141" t="s">
        <v>61</v>
      </c>
      <c r="C76" s="182">
        <f>D76/1.18</f>
        <v>13.271186440677967</v>
      </c>
      <c r="D76" s="183">
        <v>15.66</v>
      </c>
      <c r="E76" s="182">
        <v>13.27</v>
      </c>
      <c r="F76" s="183">
        <f>E76*1.18</f>
        <v>15.658599999999998</v>
      </c>
      <c r="G76" s="520" t="s">
        <v>504</v>
      </c>
      <c r="H76" s="80"/>
      <c r="I76" s="80"/>
      <c r="J76" s="80"/>
      <c r="K76" s="80"/>
    </row>
    <row r="77" spans="1:11" ht="15">
      <c r="A77" s="514"/>
      <c r="B77" s="141"/>
      <c r="C77" s="574"/>
      <c r="D77" s="183"/>
      <c r="E77" s="182"/>
      <c r="F77" s="183"/>
      <c r="G77" s="520"/>
      <c r="H77" s="80"/>
      <c r="I77" s="80"/>
      <c r="J77" s="80"/>
      <c r="K77" s="80"/>
    </row>
    <row r="78" spans="1:11" ht="15">
      <c r="A78" s="516"/>
      <c r="B78" s="165"/>
      <c r="C78" s="555"/>
      <c r="D78" s="191"/>
      <c r="E78" s="190"/>
      <c r="F78" s="191"/>
      <c r="G78" s="554"/>
      <c r="H78" s="80"/>
      <c r="I78" s="80"/>
      <c r="J78" s="80"/>
      <c r="K78" s="80"/>
    </row>
    <row r="79" spans="1:11" ht="15">
      <c r="A79" s="140"/>
      <c r="B79" s="156"/>
      <c r="C79" s="184"/>
      <c r="D79" s="185"/>
      <c r="E79" s="184"/>
      <c r="F79" s="185"/>
      <c r="G79" s="521" t="s">
        <v>201</v>
      </c>
      <c r="H79" s="80"/>
      <c r="I79" s="80"/>
      <c r="J79" s="80"/>
      <c r="K79" s="80"/>
    </row>
    <row r="80" spans="1:11" ht="15">
      <c r="A80" s="514" t="s">
        <v>12</v>
      </c>
      <c r="B80" s="141" t="s">
        <v>68</v>
      </c>
      <c r="C80" s="182">
        <f>D80/1.18</f>
        <v>25.423728813559322</v>
      </c>
      <c r="D80" s="183">
        <v>30</v>
      </c>
      <c r="E80" s="182">
        <v>25.42</v>
      </c>
      <c r="F80" s="183">
        <v>30</v>
      </c>
      <c r="G80" s="575" t="s">
        <v>507</v>
      </c>
      <c r="H80" s="80"/>
      <c r="I80" s="80"/>
      <c r="J80" s="80"/>
      <c r="K80" s="80"/>
    </row>
    <row r="81" spans="1:11" ht="15">
      <c r="A81" s="514" t="s">
        <v>13</v>
      </c>
      <c r="B81" s="141"/>
      <c r="C81" s="182"/>
      <c r="D81" s="183"/>
      <c r="E81" s="182"/>
      <c r="F81" s="183"/>
      <c r="G81" s="576" t="s">
        <v>508</v>
      </c>
      <c r="H81" s="80"/>
      <c r="I81" s="80"/>
      <c r="J81" s="80"/>
      <c r="K81" s="80"/>
    </row>
    <row r="82" spans="1:11" ht="15">
      <c r="A82" s="140"/>
      <c r="B82" s="137"/>
      <c r="C82" s="556"/>
      <c r="D82" s="557"/>
      <c r="E82" s="556"/>
      <c r="F82" s="557"/>
      <c r="G82" s="521" t="s">
        <v>201</v>
      </c>
      <c r="H82" s="80"/>
      <c r="I82" s="80"/>
      <c r="J82" s="80"/>
      <c r="K82" s="80"/>
    </row>
    <row r="83" spans="1:11" ht="15">
      <c r="A83" s="153" t="s">
        <v>108</v>
      </c>
      <c r="B83" s="141" t="s">
        <v>57</v>
      </c>
      <c r="C83" s="182">
        <v>7.04</v>
      </c>
      <c r="D83" s="183"/>
      <c r="E83" s="182">
        <v>7.04</v>
      </c>
      <c r="F83" s="183"/>
      <c r="G83" s="575" t="s">
        <v>469</v>
      </c>
      <c r="H83" s="80"/>
      <c r="I83" s="80"/>
      <c r="J83" s="80"/>
      <c r="K83" s="80"/>
    </row>
    <row r="84" spans="1:11" ht="14.25">
      <c r="A84" s="145"/>
      <c r="B84" s="166"/>
      <c r="C84" s="558"/>
      <c r="D84" s="559"/>
      <c r="E84" s="558"/>
      <c r="F84" s="559"/>
      <c r="G84" s="628" t="s">
        <v>508</v>
      </c>
      <c r="H84" s="80"/>
      <c r="I84" s="80"/>
      <c r="J84" s="80"/>
      <c r="K84" s="80"/>
    </row>
    <row r="85" spans="3:11" ht="12.75">
      <c r="C85" s="80"/>
      <c r="D85" s="80"/>
      <c r="E85" s="80"/>
      <c r="F85" s="80"/>
      <c r="G85" s="80"/>
      <c r="H85" s="80"/>
      <c r="I85" s="80"/>
      <c r="J85" s="80"/>
      <c r="K85" s="80"/>
    </row>
    <row r="86" spans="1:11" ht="12.75">
      <c r="A86" s="12"/>
      <c r="B86" s="12"/>
      <c r="C86" s="42"/>
      <c r="D86" s="42"/>
      <c r="E86" s="42"/>
      <c r="F86" s="42"/>
      <c r="G86" s="42"/>
      <c r="H86" s="80"/>
      <c r="I86" s="80"/>
      <c r="J86" s="80"/>
      <c r="K86" s="80"/>
    </row>
    <row r="87" spans="1:11" ht="14.25">
      <c r="A87" s="546"/>
      <c r="B87" s="12"/>
      <c r="C87" s="42"/>
      <c r="D87" s="42"/>
      <c r="E87" s="42"/>
      <c r="F87" s="42"/>
      <c r="G87" s="42"/>
      <c r="H87" s="80"/>
      <c r="I87" s="80"/>
      <c r="J87" s="80"/>
      <c r="K87" s="80"/>
    </row>
    <row r="88" spans="1:11" ht="12.75">
      <c r="A88" s="12"/>
      <c r="B88" s="12"/>
      <c r="C88" s="42"/>
      <c r="D88" s="42"/>
      <c r="E88" s="42"/>
      <c r="F88" s="42"/>
      <c r="G88" s="42"/>
      <c r="H88" s="80"/>
      <c r="I88" s="80"/>
      <c r="J88" s="80"/>
      <c r="K88" s="80"/>
    </row>
    <row r="89" spans="1:11" ht="12.75">
      <c r="A89" s="12"/>
      <c r="B89" s="12"/>
      <c r="C89" s="42"/>
      <c r="D89" s="42"/>
      <c r="E89" s="42"/>
      <c r="F89" s="42"/>
      <c r="G89" s="42"/>
      <c r="H89" s="80"/>
      <c r="I89" s="80"/>
      <c r="J89" s="80"/>
      <c r="K89" s="80"/>
    </row>
    <row r="90" spans="1:11" ht="12.75">
      <c r="A90" s="12"/>
      <c r="B90" s="12"/>
      <c r="C90" s="42"/>
      <c r="D90" s="42"/>
      <c r="E90" s="42"/>
      <c r="F90" s="42"/>
      <c r="G90" s="42"/>
      <c r="H90" s="80"/>
      <c r="I90" s="80"/>
      <c r="J90" s="80"/>
      <c r="K90" s="80"/>
    </row>
    <row r="91" spans="1:11" ht="12.75">
      <c r="A91" s="547"/>
      <c r="B91" s="12"/>
      <c r="C91" s="42"/>
      <c r="D91" s="42"/>
      <c r="E91" s="42"/>
      <c r="F91" s="42"/>
      <c r="G91" s="42"/>
      <c r="H91" s="80"/>
      <c r="I91" s="80"/>
      <c r="J91" s="80"/>
      <c r="K91" s="80"/>
    </row>
    <row r="92" spans="1:11" ht="12.75">
      <c r="A92" s="12"/>
      <c r="B92" s="12"/>
      <c r="C92" s="42"/>
      <c r="D92" s="42"/>
      <c r="E92" s="42"/>
      <c r="F92" s="42"/>
      <c r="G92" s="42"/>
      <c r="H92" s="80"/>
      <c r="I92" s="80"/>
      <c r="J92" s="80"/>
      <c r="K92" s="80"/>
    </row>
    <row r="93" spans="1:11" ht="12.75">
      <c r="A93" s="12"/>
      <c r="B93" s="18"/>
      <c r="C93" s="42"/>
      <c r="D93" s="42"/>
      <c r="E93" s="42"/>
      <c r="F93" s="42"/>
      <c r="G93" s="42"/>
      <c r="H93" s="80"/>
      <c r="I93" s="80"/>
      <c r="J93" s="80"/>
      <c r="K93" s="80"/>
    </row>
    <row r="94" spans="1:11" ht="14.25">
      <c r="A94" s="33"/>
      <c r="B94" s="18"/>
      <c r="C94" s="41"/>
      <c r="D94" s="41"/>
      <c r="E94" s="41"/>
      <c r="F94" s="41"/>
      <c r="G94" s="41"/>
      <c r="H94" s="80"/>
      <c r="I94" s="80"/>
      <c r="J94" s="80"/>
      <c r="K94" s="80"/>
    </row>
    <row r="95" spans="1:11" ht="14.25">
      <c r="A95" s="33"/>
      <c r="B95" s="18"/>
      <c r="C95" s="41"/>
      <c r="D95" s="41"/>
      <c r="E95" s="41"/>
      <c r="F95" s="41"/>
      <c r="G95" s="41"/>
      <c r="H95" s="80"/>
      <c r="I95" s="80"/>
      <c r="J95" s="80"/>
      <c r="K95" s="80"/>
    </row>
    <row r="96" spans="1:11" ht="14.25">
      <c r="A96" s="33"/>
      <c r="B96" s="18"/>
      <c r="C96" s="41"/>
      <c r="D96" s="41"/>
      <c r="E96" s="41"/>
      <c r="F96" s="41"/>
      <c r="G96" s="41"/>
      <c r="H96" s="80"/>
      <c r="I96" s="80"/>
      <c r="J96" s="80"/>
      <c r="K96" s="80"/>
    </row>
    <row r="97" spans="1:11" ht="14.25">
      <c r="A97" s="33"/>
      <c r="B97" s="18"/>
      <c r="C97" s="41"/>
      <c r="D97" s="41"/>
      <c r="E97" s="41"/>
      <c r="F97" s="41"/>
      <c r="G97" s="41"/>
      <c r="H97" s="80"/>
      <c r="I97" s="80"/>
      <c r="J97" s="80"/>
      <c r="K97" s="80"/>
    </row>
    <row r="98" spans="1:11" ht="14.25">
      <c r="A98" s="548"/>
      <c r="B98" s="33"/>
      <c r="C98" s="41"/>
      <c r="D98" s="41"/>
      <c r="E98" s="41"/>
      <c r="F98" s="41"/>
      <c r="G98" s="41"/>
      <c r="H98" s="80"/>
      <c r="I98" s="80"/>
      <c r="J98" s="80"/>
      <c r="K98" s="80"/>
    </row>
    <row r="99" spans="1:11" ht="14.25">
      <c r="A99" s="33"/>
      <c r="B99" s="217"/>
      <c r="C99" s="41"/>
      <c r="D99" s="41"/>
      <c r="E99" s="41"/>
      <c r="F99" s="41"/>
      <c r="G99" s="41"/>
      <c r="H99" s="80"/>
      <c r="I99" s="80"/>
      <c r="J99" s="80"/>
      <c r="K99" s="80"/>
    </row>
    <row r="100" spans="1:11" ht="14.25">
      <c r="A100" s="33"/>
      <c r="B100" s="217"/>
      <c r="C100" s="41"/>
      <c r="D100" s="41"/>
      <c r="E100" s="41"/>
      <c r="F100" s="41"/>
      <c r="G100" s="41"/>
      <c r="H100" s="80"/>
      <c r="I100" s="80"/>
      <c r="J100" s="80"/>
      <c r="K100" s="80"/>
    </row>
    <row r="101" spans="1:11" ht="14.25">
      <c r="A101" s="33"/>
      <c r="B101" s="33"/>
      <c r="C101" s="41"/>
      <c r="D101" s="41"/>
      <c r="E101" s="41"/>
      <c r="F101" s="41"/>
      <c r="G101" s="41"/>
      <c r="H101" s="80"/>
      <c r="I101" s="80"/>
      <c r="J101" s="80"/>
      <c r="K101" s="80"/>
    </row>
    <row r="102" spans="1:11" ht="14.25">
      <c r="A102" s="33"/>
      <c r="B102" s="12"/>
      <c r="C102" s="41"/>
      <c r="D102" s="41"/>
      <c r="E102" s="41"/>
      <c r="F102" s="41"/>
      <c r="G102" s="41"/>
      <c r="H102" s="80"/>
      <c r="I102" s="80"/>
      <c r="J102" s="80"/>
      <c r="K102" s="80"/>
    </row>
    <row r="103" spans="1:11" ht="14.25">
      <c r="A103" s="33"/>
      <c r="B103" s="33"/>
      <c r="C103" s="41"/>
      <c r="D103" s="41"/>
      <c r="E103" s="41"/>
      <c r="F103" s="41"/>
      <c r="G103" s="41"/>
      <c r="H103" s="80"/>
      <c r="I103" s="80"/>
      <c r="J103" s="80"/>
      <c r="K103" s="80"/>
    </row>
    <row r="104" spans="1:11" ht="14.25">
      <c r="A104" s="35"/>
      <c r="B104" s="33"/>
      <c r="C104" s="41"/>
      <c r="D104" s="41"/>
      <c r="E104" s="41"/>
      <c r="F104" s="41"/>
      <c r="G104" s="41"/>
      <c r="H104" s="80"/>
      <c r="I104" s="80"/>
      <c r="J104" s="80"/>
      <c r="K104" s="80"/>
    </row>
    <row r="105" spans="1:11" ht="14.25">
      <c r="A105" s="33"/>
      <c r="B105" s="33"/>
      <c r="C105" s="41"/>
      <c r="D105" s="41"/>
      <c r="E105" s="41"/>
      <c r="F105" s="41"/>
      <c r="G105" s="41"/>
      <c r="H105" s="80"/>
      <c r="I105" s="80"/>
      <c r="J105" s="80"/>
      <c r="K105" s="80"/>
    </row>
    <row r="106" spans="1:11" ht="14.25">
      <c r="A106" s="33"/>
      <c r="B106" s="33"/>
      <c r="C106" s="41"/>
      <c r="D106" s="41"/>
      <c r="E106" s="41"/>
      <c r="F106" s="41"/>
      <c r="G106" s="41"/>
      <c r="H106" s="80"/>
      <c r="I106" s="80"/>
      <c r="J106" s="80"/>
      <c r="K106" s="80"/>
    </row>
    <row r="107" spans="1:11" ht="14.25">
      <c r="A107" s="33"/>
      <c r="B107" s="33"/>
      <c r="C107" s="41"/>
      <c r="D107" s="41"/>
      <c r="E107" s="41"/>
      <c r="F107" s="41"/>
      <c r="G107" s="41"/>
      <c r="H107" s="80"/>
      <c r="I107" s="80"/>
      <c r="J107" s="80"/>
      <c r="K107" s="80"/>
    </row>
    <row r="108" spans="1:11" ht="14.25">
      <c r="A108" s="33"/>
      <c r="B108" s="33"/>
      <c r="C108" s="41"/>
      <c r="D108" s="41"/>
      <c r="E108" s="41"/>
      <c r="F108" s="41"/>
      <c r="G108" s="41"/>
      <c r="H108" s="80"/>
      <c r="I108" s="80"/>
      <c r="J108" s="80"/>
      <c r="K108" s="80"/>
    </row>
    <row r="109" spans="1:11" ht="14.25">
      <c r="A109" s="33"/>
      <c r="B109" s="33"/>
      <c r="C109" s="41"/>
      <c r="D109" s="41"/>
      <c r="E109" s="41"/>
      <c r="F109" s="41"/>
      <c r="G109" s="41"/>
      <c r="H109" s="80"/>
      <c r="I109" s="80"/>
      <c r="J109" s="80"/>
      <c r="K109" s="80"/>
    </row>
    <row r="110" spans="1:11" ht="12.75">
      <c r="A110" s="12"/>
      <c r="B110" s="12"/>
      <c r="C110" s="42"/>
      <c r="D110" s="42"/>
      <c r="E110" s="42"/>
      <c r="F110" s="42"/>
      <c r="G110" s="42"/>
      <c r="H110" s="80"/>
      <c r="I110" s="80"/>
      <c r="J110" s="80"/>
      <c r="K110" s="80"/>
    </row>
    <row r="111" spans="1:11" ht="12.75">
      <c r="A111" s="12"/>
      <c r="B111" s="12"/>
      <c r="C111" s="42"/>
      <c r="D111" s="42"/>
      <c r="E111" s="42"/>
      <c r="F111" s="42"/>
      <c r="G111" s="42"/>
      <c r="H111" s="80"/>
      <c r="I111" s="80"/>
      <c r="J111" s="80"/>
      <c r="K111" s="80"/>
    </row>
    <row r="112" spans="1:11" ht="12.75">
      <c r="A112" s="12"/>
      <c r="B112" s="12"/>
      <c r="C112" s="42"/>
      <c r="D112" s="42"/>
      <c r="E112" s="42"/>
      <c r="F112" s="42"/>
      <c r="G112" s="42"/>
      <c r="H112" s="80"/>
      <c r="I112" s="80"/>
      <c r="J112" s="80"/>
      <c r="K112" s="80"/>
    </row>
    <row r="113" spans="1:11" ht="12.75">
      <c r="A113" s="12"/>
      <c r="B113" s="12"/>
      <c r="C113" s="42"/>
      <c r="D113" s="42"/>
      <c r="E113" s="42"/>
      <c r="F113" s="42"/>
      <c r="G113" s="42"/>
      <c r="H113" s="80"/>
      <c r="I113" s="80"/>
      <c r="J113" s="80"/>
      <c r="K113" s="80"/>
    </row>
    <row r="114" spans="1:11" ht="12.75">
      <c r="A114" s="12"/>
      <c r="B114" s="12"/>
      <c r="C114" s="42"/>
      <c r="D114" s="42"/>
      <c r="E114" s="42"/>
      <c r="F114" s="42"/>
      <c r="G114" s="42"/>
      <c r="H114" s="80"/>
      <c r="I114" s="80"/>
      <c r="J114" s="80"/>
      <c r="K114" s="80"/>
    </row>
    <row r="115" spans="1:11" ht="12.75">
      <c r="A115" s="12"/>
      <c r="B115" s="12"/>
      <c r="C115" s="42"/>
      <c r="D115" s="42"/>
      <c r="E115" s="42"/>
      <c r="F115" s="42"/>
      <c r="G115" s="42"/>
      <c r="H115" s="80"/>
      <c r="I115" s="80"/>
      <c r="J115" s="80"/>
      <c r="K115" s="80"/>
    </row>
    <row r="116" spans="1:11" ht="12.75">
      <c r="A116" s="12"/>
      <c r="B116" s="12"/>
      <c r="C116" s="42"/>
      <c r="D116" s="42"/>
      <c r="E116" s="42"/>
      <c r="F116" s="42"/>
      <c r="G116" s="42"/>
      <c r="H116" s="80"/>
      <c r="I116" s="80"/>
      <c r="J116" s="80"/>
      <c r="K116" s="80"/>
    </row>
    <row r="117" spans="1:11" ht="12.75">
      <c r="A117" s="12"/>
      <c r="B117" s="12"/>
      <c r="C117" s="42"/>
      <c r="D117" s="42"/>
      <c r="E117" s="42"/>
      <c r="F117" s="42"/>
      <c r="G117" s="42"/>
      <c r="H117" s="80"/>
      <c r="I117" s="80"/>
      <c r="J117" s="80"/>
      <c r="K117" s="80"/>
    </row>
    <row r="118" spans="1:11" ht="12.75">
      <c r="A118" s="12"/>
      <c r="B118" s="12"/>
      <c r="C118" s="42"/>
      <c r="D118" s="42"/>
      <c r="E118" s="42"/>
      <c r="F118" s="42"/>
      <c r="G118" s="42"/>
      <c r="H118" s="80"/>
      <c r="I118" s="80"/>
      <c r="J118" s="80"/>
      <c r="K118" s="80"/>
    </row>
    <row r="119" spans="1:11" ht="12.75">
      <c r="A119" s="12"/>
      <c r="B119" s="12"/>
      <c r="C119" s="42"/>
      <c r="D119" s="42"/>
      <c r="E119" s="42"/>
      <c r="F119" s="42"/>
      <c r="G119" s="42"/>
      <c r="H119" s="80"/>
      <c r="I119" s="80"/>
      <c r="J119" s="80"/>
      <c r="K119" s="80"/>
    </row>
    <row r="120" spans="1:11" ht="12.75">
      <c r="A120" s="12"/>
      <c r="B120" s="12"/>
      <c r="C120" s="42"/>
      <c r="D120" s="42"/>
      <c r="E120" s="42"/>
      <c r="F120" s="42"/>
      <c r="G120" s="42"/>
      <c r="H120" s="80"/>
      <c r="I120" s="80"/>
      <c r="J120" s="80"/>
      <c r="K120" s="80"/>
    </row>
    <row r="121" spans="1:11" ht="12.75">
      <c r="A121" s="12"/>
      <c r="B121" s="12"/>
      <c r="C121" s="42"/>
      <c r="D121" s="42"/>
      <c r="E121" s="42"/>
      <c r="F121" s="42"/>
      <c r="G121" s="42"/>
      <c r="H121" s="80"/>
      <c r="I121" s="80"/>
      <c r="J121" s="80"/>
      <c r="K121" s="80"/>
    </row>
    <row r="122" spans="3:11" ht="12.75">
      <c r="C122" s="80"/>
      <c r="D122" s="80"/>
      <c r="E122" s="80"/>
      <c r="F122" s="80"/>
      <c r="G122" s="80"/>
      <c r="H122" s="80"/>
      <c r="I122" s="80"/>
      <c r="J122" s="80"/>
      <c r="K122" s="80"/>
    </row>
    <row r="123" spans="3:11" ht="12.75">
      <c r="C123" s="80"/>
      <c r="D123" s="80"/>
      <c r="E123" s="80"/>
      <c r="F123" s="80"/>
      <c r="G123" s="80"/>
      <c r="H123" s="80"/>
      <c r="I123" s="80"/>
      <c r="J123" s="80"/>
      <c r="K123" s="80"/>
    </row>
    <row r="124" spans="3:11" ht="12.75">
      <c r="C124" s="80"/>
      <c r="D124" s="80"/>
      <c r="E124" s="80"/>
      <c r="F124" s="80"/>
      <c r="G124" s="80"/>
      <c r="H124" s="80"/>
      <c r="I124" s="80"/>
      <c r="J124" s="80"/>
      <c r="K124" s="80"/>
    </row>
    <row r="125" spans="3:11" ht="12.75">
      <c r="C125" s="80"/>
      <c r="D125" s="80"/>
      <c r="E125" s="80"/>
      <c r="F125" s="80"/>
      <c r="G125" s="80"/>
      <c r="H125" s="80"/>
      <c r="I125" s="80"/>
      <c r="J125" s="80"/>
      <c r="K125" s="80"/>
    </row>
    <row r="126" spans="3:11" ht="12.75">
      <c r="C126" s="80"/>
      <c r="D126" s="80"/>
      <c r="E126" s="80"/>
      <c r="F126" s="80"/>
      <c r="G126" s="80"/>
      <c r="H126" s="80"/>
      <c r="I126" s="80"/>
      <c r="J126" s="80"/>
      <c r="K126" s="80"/>
    </row>
    <row r="127" spans="3:11" ht="12.75">
      <c r="C127" s="80"/>
      <c r="D127" s="80"/>
      <c r="E127" s="80"/>
      <c r="F127" s="80"/>
      <c r="G127" s="80"/>
      <c r="H127" s="80"/>
      <c r="I127" s="80"/>
      <c r="J127" s="80"/>
      <c r="K127" s="80"/>
    </row>
    <row r="128" spans="3:11" ht="12.75">
      <c r="C128" s="80"/>
      <c r="D128" s="80"/>
      <c r="E128" s="80"/>
      <c r="F128" s="80"/>
      <c r="G128" s="80"/>
      <c r="H128" s="80"/>
      <c r="I128" s="80"/>
      <c r="J128" s="80"/>
      <c r="K128" s="80"/>
    </row>
  </sheetData>
  <sheetProtection/>
  <mergeCells count="12">
    <mergeCell ref="A29:A32"/>
    <mergeCell ref="A25:A28"/>
    <mergeCell ref="A67:A70"/>
    <mergeCell ref="A71:A74"/>
    <mergeCell ref="C47:D47"/>
    <mergeCell ref="E47:F47"/>
    <mergeCell ref="C3:D3"/>
    <mergeCell ref="F3:G3"/>
    <mergeCell ref="C5:D5"/>
    <mergeCell ref="E5:F5"/>
    <mergeCell ref="C45:D45"/>
    <mergeCell ref="F45:G45"/>
  </mergeCells>
  <printOptions/>
  <pageMargins left="0.63" right="0.43" top="0.984251968503937" bottom="0.56" header="0.5118110236220472" footer="0.44"/>
  <pageSetup fitToHeight="1" fitToWidth="1" horizontalDpi="600" verticalDpi="600" orientation="landscape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19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2.7109375" style="0" customWidth="1"/>
    <col min="2" max="2" width="18.57421875" style="0" customWidth="1"/>
    <col min="3" max="4" width="18.7109375" style="0" customWidth="1"/>
    <col min="5" max="6" width="20.7109375" style="0" customWidth="1"/>
    <col min="7" max="7" width="18.8515625" style="0" customWidth="1"/>
    <col min="9" max="9" width="11.28125" style="0" bestFit="1" customWidth="1"/>
    <col min="12" max="12" width="20.421875" style="0" customWidth="1"/>
    <col min="13" max="13" width="7.7109375" style="0" customWidth="1"/>
    <col min="14" max="14" width="10.140625" style="0" customWidth="1"/>
    <col min="15" max="15" width="13.8515625" style="0" customWidth="1"/>
    <col min="16" max="16" width="16.140625" style="0" customWidth="1"/>
    <col min="17" max="17" width="13.8515625" style="0" customWidth="1"/>
    <col min="18" max="18" width="10.28125" style="0" customWidth="1"/>
  </cols>
  <sheetData>
    <row r="1" ht="9.75" customHeight="1"/>
    <row r="2" spans="1:11" ht="15">
      <c r="A2" s="1"/>
      <c r="B2" s="136" t="s">
        <v>397</v>
      </c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36"/>
      <c r="C3" s="578"/>
      <c r="D3" s="578"/>
      <c r="E3" s="1"/>
      <c r="F3" s="578" t="s">
        <v>407</v>
      </c>
      <c r="G3" s="578"/>
      <c r="H3" s="1"/>
      <c r="I3" s="1"/>
      <c r="J3" s="1"/>
      <c r="K3" s="1"/>
    </row>
    <row r="4" spans="1:23" ht="14.25">
      <c r="A4" s="137"/>
      <c r="B4" s="138"/>
      <c r="C4" s="139"/>
      <c r="D4" s="139"/>
      <c r="E4" s="140"/>
      <c r="F4" s="139"/>
      <c r="G4" s="501"/>
      <c r="H4" s="1"/>
      <c r="I4" s="41"/>
      <c r="J4" s="41"/>
      <c r="K4" s="4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15">
      <c r="A5" s="141" t="s">
        <v>56</v>
      </c>
      <c r="B5" s="517" t="s">
        <v>410</v>
      </c>
      <c r="C5" s="579" t="s">
        <v>55</v>
      </c>
      <c r="D5" s="579"/>
      <c r="E5" s="580" t="s">
        <v>63</v>
      </c>
      <c r="F5" s="579"/>
      <c r="G5" s="141" t="s">
        <v>406</v>
      </c>
      <c r="H5" s="1"/>
      <c r="I5" s="41"/>
      <c r="J5" s="41"/>
      <c r="K5" s="41"/>
      <c r="L5" s="43"/>
      <c r="M5" s="43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ht="14.25">
      <c r="A6" s="143"/>
      <c r="B6" s="518" t="s">
        <v>411</v>
      </c>
      <c r="C6" s="144"/>
      <c r="D6" s="144"/>
      <c r="E6" s="145"/>
      <c r="F6" s="507"/>
      <c r="G6" s="143"/>
      <c r="H6" s="1"/>
      <c r="I6" s="41"/>
      <c r="J6" s="41"/>
      <c r="K6" s="41"/>
      <c r="L6" s="42"/>
      <c r="M6" s="42"/>
      <c r="N6" s="43"/>
      <c r="O6" s="42"/>
      <c r="P6" s="42"/>
      <c r="Q6" s="42"/>
      <c r="R6" s="42"/>
      <c r="S6" s="42"/>
      <c r="T6" s="42"/>
      <c r="U6" s="42"/>
      <c r="V6" s="42"/>
      <c r="W6" s="42"/>
    </row>
    <row r="7" spans="1:23" ht="14.25">
      <c r="A7" s="143"/>
      <c r="B7" s="518" t="s">
        <v>412</v>
      </c>
      <c r="C7" s="147"/>
      <c r="D7" s="148"/>
      <c r="E7" s="140"/>
      <c r="F7" s="140"/>
      <c r="G7" s="143"/>
      <c r="H7" s="1"/>
      <c r="I7" s="41"/>
      <c r="J7" s="41"/>
      <c r="K7" s="41"/>
      <c r="L7" s="42"/>
      <c r="M7" s="42"/>
      <c r="N7" s="43"/>
      <c r="O7" s="42"/>
      <c r="P7" s="42"/>
      <c r="Q7" s="42"/>
      <c r="R7" s="42"/>
      <c r="S7" s="42"/>
      <c r="T7" s="42"/>
      <c r="U7" s="42"/>
      <c r="V7" s="42"/>
      <c r="W7" s="42"/>
    </row>
    <row r="8" spans="1:23" ht="15">
      <c r="A8" s="149"/>
      <c r="B8" s="519"/>
      <c r="C8" s="150" t="s">
        <v>52</v>
      </c>
      <c r="D8" s="151" t="s">
        <v>53</v>
      </c>
      <c r="E8" s="152" t="s">
        <v>52</v>
      </c>
      <c r="F8" s="152" t="s">
        <v>53</v>
      </c>
      <c r="G8" s="149"/>
      <c r="H8" s="1"/>
      <c r="I8" s="41"/>
      <c r="J8" s="41"/>
      <c r="K8" s="41"/>
      <c r="L8" s="42"/>
      <c r="M8" s="42"/>
      <c r="N8" s="43"/>
      <c r="O8" s="42"/>
      <c r="P8" s="42"/>
      <c r="Q8" s="42"/>
      <c r="R8" s="42"/>
      <c r="S8" s="42"/>
      <c r="T8" s="42"/>
      <c r="U8" s="42"/>
      <c r="V8" s="42"/>
      <c r="W8" s="42"/>
    </row>
    <row r="9" spans="1:23" ht="14.25">
      <c r="A9" s="140"/>
      <c r="B9" s="137"/>
      <c r="C9" s="139"/>
      <c r="D9" s="137"/>
      <c r="E9" s="139"/>
      <c r="F9" s="137"/>
      <c r="G9" s="504" t="s">
        <v>398</v>
      </c>
      <c r="H9" s="1"/>
      <c r="I9" s="41"/>
      <c r="J9" s="41"/>
      <c r="K9" s="41"/>
      <c r="L9" s="42"/>
      <c r="M9" s="42"/>
      <c r="N9" s="43"/>
      <c r="O9" s="42"/>
      <c r="P9" s="42"/>
      <c r="Q9" s="42"/>
      <c r="R9" s="42"/>
      <c r="S9" s="42"/>
      <c r="T9" s="42"/>
      <c r="U9" s="42"/>
      <c r="V9" s="42"/>
      <c r="W9" s="42"/>
    </row>
    <row r="10" spans="1:23" ht="15">
      <c r="A10" s="514" t="s">
        <v>2</v>
      </c>
      <c r="B10" s="141" t="s">
        <v>413</v>
      </c>
      <c r="C10" s="182">
        <f>D10/1.18</f>
        <v>1.8898305084745763</v>
      </c>
      <c r="D10" s="183">
        <v>2.23</v>
      </c>
      <c r="E10" s="182">
        <v>27.53</v>
      </c>
      <c r="F10" s="183">
        <f>E10*1.18</f>
        <v>32.4854</v>
      </c>
      <c r="G10" s="520" t="s">
        <v>408</v>
      </c>
      <c r="H10" s="1"/>
      <c r="I10" s="41"/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5">
      <c r="A11" s="514"/>
      <c r="B11" s="141"/>
      <c r="C11" s="182"/>
      <c r="D11" s="183"/>
      <c r="E11" s="182"/>
      <c r="F11" s="183"/>
      <c r="G11" s="520" t="s">
        <v>408</v>
      </c>
      <c r="H11" s="1"/>
      <c r="I11" s="41"/>
      <c r="J11" s="41"/>
      <c r="K11" s="4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15">
      <c r="A12" s="514"/>
      <c r="B12" s="141"/>
      <c r="C12" s="182"/>
      <c r="D12" s="183"/>
      <c r="E12" s="182">
        <v>17.25</v>
      </c>
      <c r="F12" s="183">
        <v>20.36</v>
      </c>
      <c r="G12" s="520" t="s">
        <v>441</v>
      </c>
      <c r="H12" s="1"/>
      <c r="I12" s="41"/>
      <c r="J12" s="41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15">
      <c r="A13" s="515"/>
      <c r="B13" s="156"/>
      <c r="C13" s="184"/>
      <c r="D13" s="185"/>
      <c r="E13" s="184"/>
      <c r="F13" s="185"/>
      <c r="G13" s="521" t="s">
        <v>398</v>
      </c>
      <c r="H13" s="1"/>
      <c r="I13" s="41"/>
      <c r="J13" s="41"/>
      <c r="K13" s="41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15">
      <c r="A14" s="514" t="s">
        <v>69</v>
      </c>
      <c r="B14" s="141" t="s">
        <v>58</v>
      </c>
      <c r="C14" s="182">
        <f>D14/1.18</f>
        <v>932.2033898305085</v>
      </c>
      <c r="D14" s="183">
        <v>1100</v>
      </c>
      <c r="E14" s="182">
        <v>12804</v>
      </c>
      <c r="F14" s="183">
        <f>E14*1.18</f>
        <v>15108.72</v>
      </c>
      <c r="G14" s="520" t="s">
        <v>399</v>
      </c>
      <c r="H14" s="1"/>
      <c r="I14" s="41"/>
      <c r="J14" s="41"/>
      <c r="K14" s="41"/>
      <c r="L14" s="24"/>
      <c r="M14" s="24"/>
      <c r="N14" s="44"/>
      <c r="O14" s="24"/>
      <c r="P14" s="24"/>
      <c r="Q14" s="24"/>
      <c r="R14" s="43"/>
      <c r="S14" s="42"/>
      <c r="T14" s="42"/>
      <c r="U14" s="42"/>
      <c r="V14" s="42"/>
      <c r="W14" s="42"/>
    </row>
    <row r="15" spans="1:23" ht="15">
      <c r="A15" s="514"/>
      <c r="B15" s="160" t="s">
        <v>409</v>
      </c>
      <c r="C15" s="182"/>
      <c r="D15" s="183"/>
      <c r="E15" s="182"/>
      <c r="F15" s="183"/>
      <c r="G15" s="502"/>
      <c r="H15" s="1"/>
      <c r="I15" s="41"/>
      <c r="J15" s="41"/>
      <c r="K15" s="41"/>
      <c r="L15" s="43"/>
      <c r="M15" s="43"/>
      <c r="N15" s="43"/>
      <c r="O15" s="43"/>
      <c r="P15" s="24"/>
      <c r="Q15" s="24"/>
      <c r="R15" s="24"/>
      <c r="S15" s="42"/>
      <c r="T15" s="42"/>
      <c r="U15" s="42"/>
      <c r="V15" s="42"/>
      <c r="W15" s="42"/>
    </row>
    <row r="16" spans="1:23" ht="15">
      <c r="A16" s="514"/>
      <c r="B16" s="141" t="s">
        <v>57</v>
      </c>
      <c r="C16" s="182">
        <f>C14*0.04</f>
        <v>37.28813559322034</v>
      </c>
      <c r="D16" s="183">
        <f>D14*0.04</f>
        <v>44</v>
      </c>
      <c r="E16" s="182"/>
      <c r="F16" s="183"/>
      <c r="G16" s="506"/>
      <c r="H16" s="1"/>
      <c r="I16" s="41"/>
      <c r="J16" s="41"/>
      <c r="K16" s="41"/>
      <c r="L16" s="42"/>
      <c r="M16" s="42"/>
      <c r="N16" s="24"/>
      <c r="O16" s="24"/>
      <c r="P16" s="24"/>
      <c r="Q16" s="24"/>
      <c r="R16" s="43"/>
      <c r="S16" s="42"/>
      <c r="T16" s="42"/>
      <c r="U16" s="42"/>
      <c r="V16" s="42"/>
      <c r="W16" s="42"/>
    </row>
    <row r="17" spans="1:23" ht="15">
      <c r="A17" s="515"/>
      <c r="B17" s="156"/>
      <c r="C17" s="184"/>
      <c r="D17" s="185"/>
      <c r="E17" s="184"/>
      <c r="F17" s="185"/>
      <c r="G17" s="505" t="s">
        <v>398</v>
      </c>
      <c r="H17" s="1"/>
      <c r="I17" s="41"/>
      <c r="J17" s="41"/>
      <c r="K17" s="41"/>
      <c r="L17" s="43"/>
      <c r="M17" s="43"/>
      <c r="N17" s="24"/>
      <c r="O17" s="40"/>
      <c r="P17" s="259"/>
      <c r="Q17" s="40"/>
      <c r="R17" s="242"/>
      <c r="S17" s="42"/>
      <c r="T17" s="42"/>
      <c r="U17" s="42"/>
      <c r="V17" s="42"/>
      <c r="W17" s="42"/>
    </row>
    <row r="18" spans="1:23" ht="15">
      <c r="A18" s="514" t="s">
        <v>16</v>
      </c>
      <c r="B18" s="141" t="s">
        <v>65</v>
      </c>
      <c r="C18" s="182">
        <f>D18/1.18</f>
        <v>114.40677966101696</v>
      </c>
      <c r="D18" s="183">
        <v>135</v>
      </c>
      <c r="E18" s="182">
        <v>557</v>
      </c>
      <c r="F18" s="183">
        <f>E18*1.18</f>
        <v>657.26</v>
      </c>
      <c r="G18" s="502" t="s">
        <v>400</v>
      </c>
      <c r="H18" s="1"/>
      <c r="I18" s="41"/>
      <c r="J18" s="41"/>
      <c r="K18" s="41"/>
      <c r="L18" s="39"/>
      <c r="M18" s="43"/>
      <c r="N18" s="24"/>
      <c r="O18" s="45"/>
      <c r="P18" s="164"/>
      <c r="Q18" s="46"/>
      <c r="R18" s="243"/>
      <c r="S18" s="42"/>
      <c r="T18" s="42"/>
      <c r="U18" s="42"/>
      <c r="V18" s="42"/>
      <c r="W18" s="42"/>
    </row>
    <row r="19" spans="1:23" ht="15">
      <c r="A19" s="514"/>
      <c r="B19" s="159"/>
      <c r="C19" s="182"/>
      <c r="D19" s="183"/>
      <c r="E19" s="182"/>
      <c r="F19" s="183"/>
      <c r="G19" s="502"/>
      <c r="H19" s="1"/>
      <c r="I19" s="47"/>
      <c r="J19" s="41"/>
      <c r="K19" s="41"/>
      <c r="L19" s="43"/>
      <c r="M19" s="24"/>
      <c r="N19" s="40"/>
      <c r="O19" s="40"/>
      <c r="P19" s="260"/>
      <c r="Q19" s="24"/>
      <c r="R19" s="242"/>
      <c r="S19" s="42"/>
      <c r="T19" s="42"/>
      <c r="U19" s="42"/>
      <c r="V19" s="42"/>
      <c r="W19" s="42"/>
    </row>
    <row r="20" spans="1:23" ht="15">
      <c r="A20" s="514"/>
      <c r="B20" s="160" t="s">
        <v>54</v>
      </c>
      <c r="C20" s="182">
        <f>C18*3.8</f>
        <v>434.7457627118644</v>
      </c>
      <c r="D20" s="183">
        <f>D18*3.8</f>
        <v>513</v>
      </c>
      <c r="E20" s="182"/>
      <c r="F20" s="183"/>
      <c r="G20" s="506"/>
      <c r="H20" s="1"/>
      <c r="I20" s="47"/>
      <c r="J20" s="41"/>
      <c r="K20" s="41"/>
      <c r="L20" s="39"/>
      <c r="M20" s="24"/>
      <c r="N20" s="24"/>
      <c r="O20" s="45"/>
      <c r="P20" s="261"/>
      <c r="Q20" s="45"/>
      <c r="R20" s="243"/>
      <c r="S20" s="42"/>
      <c r="T20" s="42"/>
      <c r="U20" s="42"/>
      <c r="V20" s="42"/>
      <c r="W20" s="42"/>
    </row>
    <row r="21" spans="1:23" ht="14.25">
      <c r="A21" s="515"/>
      <c r="B21" s="156"/>
      <c r="C21" s="186"/>
      <c r="D21" s="187"/>
      <c r="E21" s="509"/>
      <c r="F21" s="510"/>
      <c r="G21" s="505" t="s">
        <v>398</v>
      </c>
      <c r="H21" s="1"/>
      <c r="I21" s="41"/>
      <c r="J21" s="41"/>
      <c r="K21" s="41"/>
      <c r="L21" s="39"/>
      <c r="M21" s="24"/>
      <c r="N21" s="24"/>
      <c r="O21" s="45"/>
      <c r="P21" s="164"/>
      <c r="Q21" s="46"/>
      <c r="R21" s="243"/>
      <c r="S21" s="48"/>
      <c r="T21" s="42"/>
      <c r="U21" s="42"/>
      <c r="V21" s="42"/>
      <c r="W21" s="42"/>
    </row>
    <row r="22" spans="1:23" ht="15">
      <c r="A22" s="514" t="s">
        <v>17</v>
      </c>
      <c r="B22" s="141" t="s">
        <v>65</v>
      </c>
      <c r="C22" s="182">
        <f>D22/1.18</f>
        <v>170.33898305084747</v>
      </c>
      <c r="D22" s="183">
        <v>201</v>
      </c>
      <c r="E22" s="182">
        <v>1325.24</v>
      </c>
      <c r="F22" s="183">
        <f>1.18*E22</f>
        <v>1563.7831999999999</v>
      </c>
      <c r="G22" s="502" t="s">
        <v>400</v>
      </c>
      <c r="H22" s="1"/>
      <c r="I22" s="49"/>
      <c r="J22" s="41"/>
      <c r="K22" s="41"/>
      <c r="L22" s="43"/>
      <c r="M22" s="24"/>
      <c r="N22" s="24"/>
      <c r="O22" s="40"/>
      <c r="P22" s="259"/>
      <c r="Q22" s="40"/>
      <c r="R22" s="242"/>
      <c r="S22" s="48"/>
      <c r="T22" s="42"/>
      <c r="U22" s="42"/>
      <c r="V22" s="42"/>
      <c r="W22" s="42"/>
    </row>
    <row r="23" spans="1:23" ht="14.25">
      <c r="A23" s="514" t="s">
        <v>67</v>
      </c>
      <c r="B23" s="159"/>
      <c r="C23" s="188"/>
      <c r="D23" s="189"/>
      <c r="E23" s="511"/>
      <c r="F23" s="512"/>
      <c r="G23" s="502"/>
      <c r="H23" s="1"/>
      <c r="I23" s="41"/>
      <c r="J23" s="41"/>
      <c r="K23" s="41"/>
      <c r="L23" s="39"/>
      <c r="M23" s="24"/>
      <c r="N23" s="24"/>
      <c r="O23" s="45"/>
      <c r="P23" s="164"/>
      <c r="Q23" s="46"/>
      <c r="R23" s="243"/>
      <c r="S23" s="244"/>
      <c r="T23" s="42"/>
      <c r="U23" s="42"/>
      <c r="V23" s="42"/>
      <c r="W23" s="42"/>
    </row>
    <row r="24" spans="1:23" ht="15.75">
      <c r="A24" s="513"/>
      <c r="B24" s="160" t="s">
        <v>59</v>
      </c>
      <c r="C24" s="183">
        <f>C22*1.52</f>
        <v>258.91525423728814</v>
      </c>
      <c r="D24" s="183">
        <f>D22*1.52</f>
        <v>305.52</v>
      </c>
      <c r="E24" s="182"/>
      <c r="F24" s="191"/>
      <c r="G24" s="506"/>
      <c r="H24" s="1"/>
      <c r="I24" s="245"/>
      <c r="J24" s="41"/>
      <c r="K24" s="41"/>
      <c r="L24" s="43"/>
      <c r="M24" s="24"/>
      <c r="N24" s="24"/>
      <c r="O24" s="40"/>
      <c r="P24" s="259"/>
      <c r="Q24" s="40"/>
      <c r="R24" s="242"/>
      <c r="S24" s="48"/>
      <c r="T24" s="48"/>
      <c r="U24" s="42"/>
      <c r="V24" s="42"/>
      <c r="W24" s="42"/>
    </row>
    <row r="25" spans="1:23" ht="15">
      <c r="A25" s="515"/>
      <c r="B25" s="156"/>
      <c r="C25" s="184"/>
      <c r="D25" s="185"/>
      <c r="E25" s="184"/>
      <c r="F25" s="185"/>
      <c r="G25" s="505" t="s">
        <v>398</v>
      </c>
      <c r="H25" s="1"/>
      <c r="I25" s="41"/>
      <c r="J25" s="41"/>
      <c r="K25" s="41"/>
      <c r="L25" s="43"/>
      <c r="M25" s="24"/>
      <c r="N25" s="24"/>
      <c r="O25" s="24"/>
      <c r="P25" s="259"/>
      <c r="Q25" s="40"/>
      <c r="R25" s="242"/>
      <c r="S25" s="42"/>
      <c r="T25" s="42"/>
      <c r="U25" s="42"/>
      <c r="V25" s="42"/>
      <c r="W25" s="42"/>
    </row>
    <row r="26" spans="1:23" ht="15">
      <c r="A26" s="514" t="s">
        <v>11</v>
      </c>
      <c r="B26" s="141" t="s">
        <v>61</v>
      </c>
      <c r="C26" s="182">
        <v>11.88</v>
      </c>
      <c r="D26" s="183">
        <f>C26*1.18</f>
        <v>14.0184</v>
      </c>
      <c r="E26" s="182">
        <v>11.88</v>
      </c>
      <c r="F26" s="183">
        <f>E26*1.18</f>
        <v>14.0184</v>
      </c>
      <c r="G26" s="502" t="s">
        <v>400</v>
      </c>
      <c r="H26" s="1"/>
      <c r="I26" s="41"/>
      <c r="J26" s="41"/>
      <c r="K26" s="41"/>
      <c r="L26" s="43"/>
      <c r="M26" s="24"/>
      <c r="N26" s="24"/>
      <c r="O26" s="45"/>
      <c r="P26" s="164"/>
      <c r="Q26" s="46"/>
      <c r="R26" s="243"/>
      <c r="S26" s="42"/>
      <c r="T26" s="42"/>
      <c r="U26" s="42"/>
      <c r="V26" s="42"/>
      <c r="W26" s="42"/>
    </row>
    <row r="27" spans="1:23" ht="15">
      <c r="A27" s="514"/>
      <c r="B27" s="141"/>
      <c r="C27" s="182"/>
      <c r="D27" s="183"/>
      <c r="E27" s="182"/>
      <c r="F27" s="183"/>
      <c r="G27" s="502" t="s">
        <v>401</v>
      </c>
      <c r="H27" s="1"/>
      <c r="I27" s="41"/>
      <c r="J27" s="41"/>
      <c r="K27" s="41"/>
      <c r="L27" s="43"/>
      <c r="M27" s="24"/>
      <c r="N27" s="24"/>
      <c r="O27" s="45"/>
      <c r="P27" s="164"/>
      <c r="Q27" s="46"/>
      <c r="R27" s="243"/>
      <c r="S27" s="42"/>
      <c r="T27" s="42"/>
      <c r="U27" s="42"/>
      <c r="V27" s="42"/>
      <c r="W27" s="42"/>
    </row>
    <row r="28" spans="1:23" ht="15">
      <c r="A28" s="516"/>
      <c r="B28" s="165" t="s">
        <v>66</v>
      </c>
      <c r="C28" s="190">
        <f>5.3*C26</f>
        <v>62.964</v>
      </c>
      <c r="D28" s="191">
        <f>D26*5.3</f>
        <v>74.29751999999999</v>
      </c>
      <c r="E28" s="190"/>
      <c r="F28" s="191"/>
      <c r="G28" s="503"/>
      <c r="H28" s="1"/>
      <c r="I28" s="41"/>
      <c r="J28" s="41"/>
      <c r="K28" s="41"/>
      <c r="L28" s="39"/>
      <c r="M28" s="24"/>
      <c r="N28" s="24"/>
      <c r="O28" s="24"/>
      <c r="P28" s="24"/>
      <c r="Q28" s="24"/>
      <c r="R28" s="50"/>
      <c r="S28" s="42"/>
      <c r="T28" s="42"/>
      <c r="U28" s="42"/>
      <c r="V28" s="42"/>
      <c r="W28" s="42"/>
    </row>
    <row r="29" spans="1:23" ht="15">
      <c r="A29" s="140"/>
      <c r="B29" s="156"/>
      <c r="C29" s="170"/>
      <c r="D29" s="171"/>
      <c r="E29" s="170"/>
      <c r="F29" s="171"/>
      <c r="G29" s="505" t="s">
        <v>201</v>
      </c>
      <c r="H29" s="1"/>
      <c r="I29" s="41"/>
      <c r="J29" s="41"/>
      <c r="K29" s="41"/>
      <c r="L29" s="43"/>
      <c r="M29" s="24"/>
      <c r="N29" s="24"/>
      <c r="O29" s="24"/>
      <c r="P29" s="24"/>
      <c r="Q29" s="24"/>
      <c r="R29" s="50"/>
      <c r="S29" s="42"/>
      <c r="T29" s="42"/>
      <c r="U29" s="42"/>
      <c r="V29" s="42"/>
      <c r="W29" s="42"/>
    </row>
    <row r="30" spans="1:23" ht="15">
      <c r="A30" s="514" t="s">
        <v>12</v>
      </c>
      <c r="B30" s="141" t="s">
        <v>68</v>
      </c>
      <c r="C30" s="182">
        <f>D30/1.18</f>
        <v>25.423728813559322</v>
      </c>
      <c r="D30" s="183">
        <v>30</v>
      </c>
      <c r="E30" s="168">
        <v>25.42</v>
      </c>
      <c r="F30" s="169">
        <v>30</v>
      </c>
      <c r="G30" s="502" t="s">
        <v>402</v>
      </c>
      <c r="H30" s="1"/>
      <c r="I30" s="41"/>
      <c r="J30" s="41"/>
      <c r="K30" s="41"/>
      <c r="L30" s="43"/>
      <c r="M30" s="43"/>
      <c r="N30" s="43"/>
      <c r="O30" s="43"/>
      <c r="P30" s="43"/>
      <c r="Q30" s="43"/>
      <c r="R30" s="42"/>
      <c r="S30" s="42"/>
      <c r="T30" s="42"/>
      <c r="U30" s="42"/>
      <c r="V30" s="42"/>
      <c r="W30" s="42"/>
    </row>
    <row r="31" spans="1:23" ht="15">
      <c r="A31" s="514" t="s">
        <v>13</v>
      </c>
      <c r="B31" s="141"/>
      <c r="C31" s="168"/>
      <c r="D31" s="169"/>
      <c r="E31" s="168"/>
      <c r="F31" s="169"/>
      <c r="G31" s="504" t="s">
        <v>403</v>
      </c>
      <c r="H31" s="1"/>
      <c r="I31" s="41"/>
      <c r="J31" s="41"/>
      <c r="K31" s="41"/>
      <c r="L31" s="43"/>
      <c r="M31" s="43"/>
      <c r="N31" s="43"/>
      <c r="O31" s="43"/>
      <c r="P31" s="24"/>
      <c r="Q31" s="40"/>
      <c r="R31" s="42"/>
      <c r="S31" s="42"/>
      <c r="T31" s="42"/>
      <c r="U31" s="42"/>
      <c r="V31" s="42"/>
      <c r="W31" s="42"/>
    </row>
    <row r="32" spans="1:23" ht="15">
      <c r="A32" s="140"/>
      <c r="B32" s="137"/>
      <c r="C32" s="174"/>
      <c r="D32" s="175"/>
      <c r="E32" s="174"/>
      <c r="F32" s="175"/>
      <c r="G32" s="505" t="s">
        <v>201</v>
      </c>
      <c r="I32" s="42"/>
      <c r="J32" s="42"/>
      <c r="K32" s="42"/>
      <c r="L32" s="43"/>
      <c r="M32" s="43"/>
      <c r="N32" s="43"/>
      <c r="O32" s="43"/>
      <c r="P32" s="24"/>
      <c r="Q32" s="40"/>
      <c r="R32" s="42"/>
      <c r="S32" s="42"/>
      <c r="T32" s="42"/>
      <c r="U32" s="42"/>
      <c r="V32" s="42"/>
      <c r="W32" s="42"/>
    </row>
    <row r="33" spans="1:23" ht="15">
      <c r="A33" s="153" t="s">
        <v>108</v>
      </c>
      <c r="B33" s="141" t="s">
        <v>57</v>
      </c>
      <c r="C33" s="182">
        <v>7.04</v>
      </c>
      <c r="D33" s="169"/>
      <c r="E33" s="168">
        <v>7.04</v>
      </c>
      <c r="F33" s="169"/>
      <c r="G33" s="502" t="s">
        <v>404</v>
      </c>
      <c r="I33" s="42"/>
      <c r="J33" s="42"/>
      <c r="K33" s="42"/>
      <c r="L33" s="42"/>
      <c r="M33" s="42"/>
      <c r="N33" s="42"/>
      <c r="O33" s="42"/>
      <c r="P33" s="42"/>
      <c r="Q33" s="45"/>
      <c r="R33" s="42"/>
      <c r="S33" s="42"/>
      <c r="T33" s="42"/>
      <c r="U33" s="48"/>
      <c r="V33" s="42"/>
      <c r="W33" s="42"/>
    </row>
    <row r="34" spans="1:23" ht="14.25">
      <c r="A34" s="145"/>
      <c r="B34" s="166"/>
      <c r="C34" s="162"/>
      <c r="D34" s="163"/>
      <c r="E34" s="162"/>
      <c r="F34" s="163"/>
      <c r="G34" s="508" t="s">
        <v>405</v>
      </c>
      <c r="I34" s="42"/>
      <c r="J34" s="42"/>
      <c r="K34" s="42"/>
      <c r="L34" s="42"/>
      <c r="M34" s="42"/>
      <c r="N34" s="42"/>
      <c r="O34" s="42"/>
      <c r="P34" s="42"/>
      <c r="Q34" s="24"/>
      <c r="R34" s="42"/>
      <c r="S34" s="42"/>
      <c r="T34" s="42"/>
      <c r="U34" s="42"/>
      <c r="V34" s="42"/>
      <c r="W34" s="42"/>
    </row>
    <row r="35" spans="9:23" ht="12.75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9:23" ht="12.75">
      <c r="I36" s="42"/>
      <c r="J36" s="42"/>
      <c r="K36" s="42"/>
      <c r="L36" s="24"/>
      <c r="M36" s="42"/>
      <c r="N36" s="24"/>
      <c r="O36" s="43"/>
      <c r="P36" s="43"/>
      <c r="Q36" s="43"/>
      <c r="R36" s="42"/>
      <c r="S36" s="42"/>
      <c r="T36" s="42"/>
      <c r="U36" s="42"/>
      <c r="V36" s="42"/>
      <c r="W36" s="42"/>
    </row>
    <row r="37" spans="1:23" ht="15">
      <c r="A37" s="1"/>
      <c r="B37" s="136" t="s">
        <v>62</v>
      </c>
      <c r="C37" s="1"/>
      <c r="D37" s="1"/>
      <c r="E37" s="1"/>
      <c r="F37" s="1"/>
      <c r="I37" s="50"/>
      <c r="J37" s="42"/>
      <c r="K37" s="42"/>
      <c r="L37" s="42"/>
      <c r="M37" s="42"/>
      <c r="N37" s="24"/>
      <c r="O37" s="43"/>
      <c r="P37" s="43"/>
      <c r="Q37" s="43"/>
      <c r="R37" s="42"/>
      <c r="S37" s="42"/>
      <c r="T37" s="42"/>
      <c r="U37" s="42"/>
      <c r="V37" s="42"/>
      <c r="W37" s="42"/>
    </row>
    <row r="38" spans="1:23" ht="15">
      <c r="A38" s="1"/>
      <c r="B38" s="136"/>
      <c r="C38" s="1"/>
      <c r="D38" s="1"/>
      <c r="E38" s="1"/>
      <c r="F38" s="1"/>
      <c r="I38" s="42"/>
      <c r="J38" s="42"/>
      <c r="K38" s="42"/>
      <c r="L38" s="24"/>
      <c r="M38" s="52"/>
      <c r="N38" s="24"/>
      <c r="O38" s="43"/>
      <c r="P38" s="43"/>
      <c r="Q38" s="52"/>
      <c r="R38" s="42"/>
      <c r="S38" s="42"/>
      <c r="T38" s="42"/>
      <c r="U38" s="42"/>
      <c r="V38" s="42"/>
      <c r="W38" s="42"/>
    </row>
    <row r="39" spans="1:23" ht="14.25">
      <c r="A39" s="137"/>
      <c r="B39" s="138"/>
      <c r="C39" s="139"/>
      <c r="D39" s="139"/>
      <c r="E39" s="140"/>
      <c r="F39" s="138"/>
      <c r="I39" s="26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1:23" ht="15">
      <c r="A40" s="141" t="s">
        <v>56</v>
      </c>
      <c r="B40" s="142"/>
      <c r="C40" s="579" t="s">
        <v>55</v>
      </c>
      <c r="D40" s="579"/>
      <c r="E40" s="580" t="s">
        <v>63</v>
      </c>
      <c r="F40" s="617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1:23" ht="14.25">
      <c r="A41" s="143"/>
      <c r="B41" s="142"/>
      <c r="C41" s="144"/>
      <c r="D41" s="144"/>
      <c r="E41" s="145"/>
      <c r="F41" s="146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ht="14.25">
      <c r="A42" s="143"/>
      <c r="B42" s="142"/>
      <c r="C42" s="147"/>
      <c r="D42" s="148"/>
      <c r="E42" s="140"/>
      <c r="F42" s="137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ht="15">
      <c r="A43" s="149"/>
      <c r="B43" s="146"/>
      <c r="C43" s="150" t="s">
        <v>52</v>
      </c>
      <c r="D43" s="151" t="s">
        <v>53</v>
      </c>
      <c r="E43" s="152" t="s">
        <v>52</v>
      </c>
      <c r="F43" s="151" t="s">
        <v>53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1:23" ht="14.25">
      <c r="A44" s="140"/>
      <c r="B44" s="137"/>
      <c r="C44" s="139"/>
      <c r="D44" s="137"/>
      <c r="E44" s="139"/>
      <c r="F44" s="137"/>
      <c r="I44" s="223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1:23" ht="15">
      <c r="A45" s="153" t="s">
        <v>2</v>
      </c>
      <c r="B45" s="141" t="s">
        <v>64</v>
      </c>
      <c r="C45" s="168">
        <v>1.25</v>
      </c>
      <c r="D45" s="169">
        <v>1.48</v>
      </c>
      <c r="E45" s="168">
        <v>12.66</v>
      </c>
      <c r="F45" s="169">
        <f>12.66*1.18</f>
        <v>14.938799999999999</v>
      </c>
      <c r="I45" s="223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 ht="15">
      <c r="A46" s="153"/>
      <c r="B46" s="141"/>
      <c r="C46" s="168"/>
      <c r="D46" s="169"/>
      <c r="E46" s="168"/>
      <c r="F46" s="169"/>
      <c r="I46" s="223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1:23" ht="15">
      <c r="A47" s="140"/>
      <c r="B47" s="156"/>
      <c r="C47" s="170"/>
      <c r="D47" s="171"/>
      <c r="E47" s="170"/>
      <c r="F47" s="171"/>
      <c r="I47" s="223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5">
      <c r="A48" s="153" t="s">
        <v>69</v>
      </c>
      <c r="B48" s="141" t="s">
        <v>58</v>
      </c>
      <c r="C48" s="168">
        <v>454.45</v>
      </c>
      <c r="D48" s="169" t="s">
        <v>5</v>
      </c>
      <c r="E48" s="168">
        <v>5615</v>
      </c>
      <c r="F48" s="169">
        <f>5615*1.18</f>
        <v>6625.7</v>
      </c>
      <c r="I48" s="223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49" spans="1:23" ht="15">
      <c r="A49" s="153"/>
      <c r="B49" s="141"/>
      <c r="C49" s="168"/>
      <c r="D49" s="169"/>
      <c r="E49" s="168"/>
      <c r="F49" s="169"/>
      <c r="I49" s="223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</row>
    <row r="50" spans="1:23" ht="15">
      <c r="A50" s="153"/>
      <c r="B50" s="141" t="s">
        <v>57</v>
      </c>
      <c r="C50" s="168">
        <v>18.18</v>
      </c>
      <c r="D50" s="169">
        <f>18.18*1.18</f>
        <v>21.452399999999997</v>
      </c>
      <c r="E50" s="168" t="s">
        <v>5</v>
      </c>
      <c r="F50" s="169" t="s">
        <v>5</v>
      </c>
      <c r="I50" s="223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</row>
    <row r="51" spans="1:23" ht="15">
      <c r="A51" s="140"/>
      <c r="B51" s="156"/>
      <c r="C51" s="170"/>
      <c r="D51" s="171"/>
      <c r="E51" s="170"/>
      <c r="F51" s="171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</row>
    <row r="52" spans="1:23" ht="15">
      <c r="A52" s="153" t="s">
        <v>16</v>
      </c>
      <c r="B52" s="141" t="s">
        <v>65</v>
      </c>
      <c r="C52" s="168">
        <f>46.31*1.25</f>
        <v>57.8875</v>
      </c>
      <c r="D52" s="169">
        <f>57.89*1.18</f>
        <v>68.3102</v>
      </c>
      <c r="E52" s="168">
        <v>433</v>
      </c>
      <c r="F52" s="169">
        <f>433*1.18</f>
        <v>510.94</v>
      </c>
      <c r="I52" s="26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  <row r="53" spans="1:23" ht="15">
      <c r="A53" s="153"/>
      <c r="B53" s="159"/>
      <c r="C53" s="168"/>
      <c r="D53" s="169"/>
      <c r="E53" s="168"/>
      <c r="F53" s="169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1:23" ht="15">
      <c r="A54" s="153"/>
      <c r="B54" s="160" t="s">
        <v>54</v>
      </c>
      <c r="C54" s="168">
        <f>57.89*3.8</f>
        <v>219.982</v>
      </c>
      <c r="D54" s="169">
        <f>68.31*3.8</f>
        <v>259.578</v>
      </c>
      <c r="E54" s="168" t="s">
        <v>5</v>
      </c>
      <c r="F54" s="169" t="s">
        <v>5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</row>
    <row r="55" spans="1:23" ht="15">
      <c r="A55" s="140"/>
      <c r="B55" s="156"/>
      <c r="C55" s="157"/>
      <c r="D55" s="158"/>
      <c r="E55" s="626" t="s">
        <v>60</v>
      </c>
      <c r="F55" s="623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1:23" ht="15">
      <c r="A56" s="153" t="s">
        <v>17</v>
      </c>
      <c r="B56" s="141" t="s">
        <v>65</v>
      </c>
      <c r="C56" s="168">
        <v>145.88</v>
      </c>
      <c r="D56" s="169">
        <f>1.18*145.88</f>
        <v>172.1384</v>
      </c>
      <c r="E56" s="168">
        <v>769.9</v>
      </c>
      <c r="F56" s="169">
        <f>1.18*E56</f>
        <v>908.482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</row>
    <row r="57" spans="1:23" ht="15">
      <c r="A57" s="153" t="s">
        <v>67</v>
      </c>
      <c r="B57" s="159"/>
      <c r="C57" s="154"/>
      <c r="D57" s="155"/>
      <c r="E57" s="627" t="s">
        <v>10</v>
      </c>
      <c r="F57" s="625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</row>
    <row r="58" spans="1:23" ht="15.75">
      <c r="A58" s="161"/>
      <c r="B58" s="160" t="s">
        <v>59</v>
      </c>
      <c r="C58" s="168">
        <f>1.52*145.88</f>
        <v>221.7376</v>
      </c>
      <c r="D58" s="169">
        <f>D56*1.52</f>
        <v>261.650368</v>
      </c>
      <c r="E58" s="168">
        <v>460.27</v>
      </c>
      <c r="F58" s="169">
        <f>460.27*1.18</f>
        <v>543.1185999999999</v>
      </c>
      <c r="I58" s="42"/>
      <c r="J58" s="42"/>
      <c r="K58" s="42"/>
      <c r="L58" s="43"/>
      <c r="M58" s="43"/>
      <c r="N58" s="42"/>
      <c r="O58" s="42"/>
      <c r="P58" s="42"/>
      <c r="Q58" s="42"/>
      <c r="R58" s="42"/>
      <c r="S58" s="42"/>
      <c r="T58" s="42"/>
      <c r="U58" s="42"/>
      <c r="V58" s="42"/>
      <c r="W58" s="42"/>
    </row>
    <row r="59" spans="1:23" ht="15">
      <c r="A59" s="140"/>
      <c r="B59" s="156"/>
      <c r="C59" s="170"/>
      <c r="D59" s="171"/>
      <c r="E59" s="170"/>
      <c r="F59" s="171"/>
      <c r="I59" s="42"/>
      <c r="J59" s="42"/>
      <c r="K59" s="42"/>
      <c r="L59" s="42"/>
      <c r="M59" s="42"/>
      <c r="N59" s="43"/>
      <c r="O59" s="42"/>
      <c r="P59" s="42"/>
      <c r="Q59" s="42"/>
      <c r="R59" s="42"/>
      <c r="S59" s="42"/>
      <c r="T59" s="42"/>
      <c r="U59" s="42"/>
      <c r="V59" s="42"/>
      <c r="W59" s="42"/>
    </row>
    <row r="60" spans="1:23" ht="15">
      <c r="A60" s="153" t="s">
        <v>11</v>
      </c>
      <c r="B60" s="141" t="s">
        <v>61</v>
      </c>
      <c r="C60" s="168">
        <v>10.25</v>
      </c>
      <c r="D60" s="169">
        <f>1.18*10.25</f>
        <v>12.094999999999999</v>
      </c>
      <c r="E60" s="168">
        <v>10.25</v>
      </c>
      <c r="F60" s="169">
        <v>12.1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1:23" ht="15">
      <c r="A61" s="153"/>
      <c r="B61" s="141"/>
      <c r="C61" s="168"/>
      <c r="D61" s="169"/>
      <c r="E61" s="168"/>
      <c r="F61" s="169"/>
      <c r="G61" s="27"/>
      <c r="H61" s="27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1:23" ht="15">
      <c r="A62" s="145"/>
      <c r="B62" s="165" t="s">
        <v>66</v>
      </c>
      <c r="C62" s="172">
        <f>5.3*C60</f>
        <v>54.324999999999996</v>
      </c>
      <c r="D62" s="173">
        <f>1.18*54.33</f>
        <v>64.1094</v>
      </c>
      <c r="E62" s="172" t="s">
        <v>5</v>
      </c>
      <c r="F62" s="173" t="s">
        <v>5</v>
      </c>
      <c r="G62" s="27"/>
      <c r="H62" s="27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1:23" ht="15">
      <c r="A63" s="140"/>
      <c r="B63" s="156"/>
      <c r="C63" s="170"/>
      <c r="D63" s="171"/>
      <c r="E63" s="170"/>
      <c r="F63" s="171"/>
      <c r="G63" s="27"/>
      <c r="H63" s="27"/>
      <c r="I63" s="42"/>
      <c r="J63" s="42"/>
      <c r="K63" s="42"/>
      <c r="L63" s="24"/>
      <c r="M63" s="24"/>
      <c r="N63" s="44"/>
      <c r="O63" s="24"/>
      <c r="P63" s="24"/>
      <c r="Q63" s="24"/>
      <c r="R63" s="43"/>
      <c r="S63" s="42"/>
      <c r="T63" s="42"/>
      <c r="U63" s="42"/>
      <c r="V63" s="42"/>
      <c r="W63" s="42"/>
    </row>
    <row r="64" spans="1:23" ht="15">
      <c r="A64" s="153" t="s">
        <v>12</v>
      </c>
      <c r="B64" s="141" t="s">
        <v>68</v>
      </c>
      <c r="C64" s="168"/>
      <c r="D64" s="169"/>
      <c r="E64" s="168"/>
      <c r="F64" s="169"/>
      <c r="G64" s="15"/>
      <c r="H64" s="15"/>
      <c r="I64" s="42"/>
      <c r="J64" s="42"/>
      <c r="K64" s="42"/>
      <c r="L64" s="43"/>
      <c r="M64" s="43"/>
      <c r="N64" s="43"/>
      <c r="O64" s="43"/>
      <c r="P64" s="24"/>
      <c r="Q64" s="24"/>
      <c r="R64" s="24"/>
      <c r="S64" s="42"/>
      <c r="T64" s="42"/>
      <c r="U64" s="42"/>
      <c r="V64" s="42"/>
      <c r="W64" s="42"/>
    </row>
    <row r="65" spans="1:23" ht="15">
      <c r="A65" s="153" t="s">
        <v>13</v>
      </c>
      <c r="B65" s="141"/>
      <c r="C65" s="168"/>
      <c r="D65" s="169"/>
      <c r="E65" s="168"/>
      <c r="F65" s="169"/>
      <c r="G65" s="15"/>
      <c r="H65" s="15"/>
      <c r="I65" s="42"/>
      <c r="J65" s="42"/>
      <c r="K65" s="42"/>
      <c r="L65" s="42"/>
      <c r="M65" s="42"/>
      <c r="N65" s="24"/>
      <c r="O65" s="24"/>
      <c r="P65" s="24"/>
      <c r="Q65" s="24"/>
      <c r="R65" s="43"/>
      <c r="S65" s="42"/>
      <c r="T65" s="42"/>
      <c r="U65" s="42"/>
      <c r="V65" s="42"/>
      <c r="W65" s="42"/>
    </row>
    <row r="66" spans="1:23" ht="15">
      <c r="A66" s="140"/>
      <c r="B66" s="137"/>
      <c r="C66" s="174"/>
      <c r="D66" s="175"/>
      <c r="E66" s="174"/>
      <c r="F66" s="175"/>
      <c r="G66" s="15"/>
      <c r="H66" s="15"/>
      <c r="I66" s="42"/>
      <c r="J66" s="42"/>
      <c r="K66" s="42"/>
      <c r="L66" s="43"/>
      <c r="M66" s="43"/>
      <c r="N66" s="24"/>
      <c r="O66" s="24"/>
      <c r="P66" s="24"/>
      <c r="Q66" s="24"/>
      <c r="R66" s="42"/>
      <c r="S66" s="42"/>
      <c r="T66" s="42"/>
      <c r="U66" s="42"/>
      <c r="V66" s="42"/>
      <c r="W66" s="42"/>
    </row>
    <row r="67" spans="1:23" ht="15">
      <c r="A67" s="153" t="s">
        <v>14</v>
      </c>
      <c r="B67" s="141" t="s">
        <v>57</v>
      </c>
      <c r="C67" s="168">
        <v>6.96</v>
      </c>
      <c r="D67" s="169" t="s">
        <v>5</v>
      </c>
      <c r="E67" s="168" t="s">
        <v>5</v>
      </c>
      <c r="F67" s="169" t="s">
        <v>5</v>
      </c>
      <c r="G67" s="15"/>
      <c r="H67" s="15"/>
      <c r="I67" s="263"/>
      <c r="J67" s="42"/>
      <c r="K67" s="42"/>
      <c r="L67" s="43"/>
      <c r="M67" s="43"/>
      <c r="N67" s="24"/>
      <c r="O67" s="40"/>
      <c r="P67" s="24"/>
      <c r="Q67" s="40"/>
      <c r="R67" s="242"/>
      <c r="S67" s="42"/>
      <c r="T67" s="42"/>
      <c r="U67" s="42"/>
      <c r="V67" s="42"/>
      <c r="W67" s="42"/>
    </row>
    <row r="68" spans="1:23" ht="12.75">
      <c r="A68" s="10"/>
      <c r="B68" s="10"/>
      <c r="C68" s="31"/>
      <c r="D68" s="31"/>
      <c r="E68" s="31"/>
      <c r="F68" s="31"/>
      <c r="G68" s="31"/>
      <c r="H68" s="31"/>
      <c r="I68" s="263"/>
      <c r="J68" s="42"/>
      <c r="K68" s="42"/>
      <c r="L68" s="39"/>
      <c r="M68" s="43"/>
      <c r="N68" s="24"/>
      <c r="O68" s="45"/>
      <c r="P68" s="39"/>
      <c r="Q68" s="46"/>
      <c r="R68" s="243"/>
      <c r="S68" s="42"/>
      <c r="T68" s="42"/>
      <c r="U68" s="42"/>
      <c r="V68" s="42"/>
      <c r="W68" s="42"/>
    </row>
    <row r="69" spans="1:23" ht="12.75">
      <c r="A69" s="80"/>
      <c r="B69" s="80"/>
      <c r="C69" s="80"/>
      <c r="D69" s="80"/>
      <c r="E69" s="80"/>
      <c r="F69" s="80"/>
      <c r="G69" s="80"/>
      <c r="H69" s="80"/>
      <c r="I69" s="42"/>
      <c r="J69" s="53"/>
      <c r="K69" s="42"/>
      <c r="L69" s="43"/>
      <c r="M69" s="24"/>
      <c r="N69" s="40"/>
      <c r="O69" s="40"/>
      <c r="P69" s="24"/>
      <c r="Q69" s="24"/>
      <c r="R69" s="242"/>
      <c r="S69" s="42"/>
      <c r="T69" s="42"/>
      <c r="U69" s="42"/>
      <c r="V69" s="42"/>
      <c r="W69" s="42"/>
    </row>
    <row r="70" spans="9:23" ht="12.75">
      <c r="I70" s="42"/>
      <c r="J70" s="54"/>
      <c r="K70" s="53"/>
      <c r="L70" s="39"/>
      <c r="M70" s="24"/>
      <c r="N70" s="24"/>
      <c r="O70" s="45"/>
      <c r="P70" s="39"/>
      <c r="Q70" s="45"/>
      <c r="R70" s="243"/>
      <c r="S70" s="42"/>
      <c r="T70" s="42"/>
      <c r="U70" s="42"/>
      <c r="V70" s="42"/>
      <c r="W70" s="42"/>
    </row>
    <row r="71" spans="9:23" ht="12.75">
      <c r="I71" s="42"/>
      <c r="J71" s="42"/>
      <c r="K71" s="42"/>
      <c r="L71" s="43"/>
      <c r="M71" s="24"/>
      <c r="N71" s="24"/>
      <c r="O71" s="40"/>
      <c r="P71" s="24"/>
      <c r="Q71" s="40"/>
      <c r="R71" s="242"/>
      <c r="S71" s="42"/>
      <c r="T71" s="42"/>
      <c r="U71" s="42"/>
      <c r="V71" s="42"/>
      <c r="W71" s="42"/>
    </row>
    <row r="72" spans="9:23" ht="12.75">
      <c r="I72" s="264"/>
      <c r="J72" s="265"/>
      <c r="K72" s="42"/>
      <c r="L72" s="39"/>
      <c r="M72" s="24"/>
      <c r="N72" s="24"/>
      <c r="O72" s="45"/>
      <c r="P72" s="39"/>
      <c r="Q72" s="46"/>
      <c r="R72" s="243"/>
      <c r="S72" s="42"/>
      <c r="T72" s="42"/>
      <c r="U72" s="42"/>
      <c r="V72" s="42"/>
      <c r="W72" s="42"/>
    </row>
    <row r="73" spans="9:23" ht="12.75">
      <c r="I73" s="42"/>
      <c r="J73" s="42"/>
      <c r="K73" s="42"/>
      <c r="L73" s="43"/>
      <c r="M73" s="24"/>
      <c r="N73" s="24"/>
      <c r="O73" s="40"/>
      <c r="P73" s="24"/>
      <c r="Q73" s="40"/>
      <c r="R73" s="242"/>
      <c r="S73" s="42"/>
      <c r="T73" s="42"/>
      <c r="U73" s="42"/>
      <c r="V73" s="42"/>
      <c r="W73" s="42"/>
    </row>
    <row r="74" spans="1:23" ht="12.75">
      <c r="A74" s="4"/>
      <c r="B74" s="15"/>
      <c r="I74" s="50"/>
      <c r="J74" s="50"/>
      <c r="K74" s="42"/>
      <c r="L74" s="39"/>
      <c r="M74" s="24"/>
      <c r="N74" s="24"/>
      <c r="O74" s="45"/>
      <c r="P74" s="24"/>
      <c r="Q74" s="46"/>
      <c r="R74" s="243"/>
      <c r="S74" s="42"/>
      <c r="T74" s="42"/>
      <c r="U74" s="42"/>
      <c r="V74" s="42"/>
      <c r="W74" s="42"/>
    </row>
    <row r="75" spans="1:23" ht="12.75">
      <c r="A75" s="4"/>
      <c r="I75" s="42"/>
      <c r="J75" s="42"/>
      <c r="K75" s="42"/>
      <c r="L75" s="43"/>
      <c r="M75" s="24"/>
      <c r="N75" s="24"/>
      <c r="O75" s="40"/>
      <c r="P75" s="24"/>
      <c r="Q75" s="40"/>
      <c r="R75" s="242"/>
      <c r="S75" s="42"/>
      <c r="T75" s="42"/>
      <c r="U75" s="42"/>
      <c r="V75" s="42"/>
      <c r="W75" s="42"/>
    </row>
    <row r="76" spans="9:23" ht="12.75">
      <c r="I76" s="42"/>
      <c r="J76" s="53"/>
      <c r="K76" s="42"/>
      <c r="L76" s="39"/>
      <c r="M76" s="24"/>
      <c r="N76" s="24"/>
      <c r="O76" s="45"/>
      <c r="P76" s="24"/>
      <c r="Q76" s="45"/>
      <c r="R76" s="243"/>
      <c r="S76" s="42"/>
      <c r="T76" s="42"/>
      <c r="U76" s="42"/>
      <c r="V76" s="42"/>
      <c r="W76" s="42"/>
    </row>
    <row r="77" spans="9:18" ht="12.75">
      <c r="I77" s="12"/>
      <c r="J77" s="12"/>
      <c r="K77" s="12"/>
      <c r="L77" s="18"/>
      <c r="M77" s="38"/>
      <c r="N77" s="24"/>
      <c r="O77" s="24"/>
      <c r="P77" s="24"/>
      <c r="Q77" s="40"/>
      <c r="R77" s="242"/>
    </row>
    <row r="78" spans="9:18" ht="12.75">
      <c r="I78" s="12"/>
      <c r="J78" s="12"/>
      <c r="K78" s="12"/>
      <c r="L78" s="18"/>
      <c r="M78" s="38"/>
      <c r="N78" s="24"/>
      <c r="O78" s="45"/>
      <c r="P78" s="24"/>
      <c r="Q78" s="46"/>
      <c r="R78" s="243"/>
    </row>
    <row r="79" spans="9:18" ht="12.75">
      <c r="I79" s="12"/>
      <c r="J79" s="12"/>
      <c r="K79" s="12"/>
      <c r="L79" s="257"/>
      <c r="M79" s="38"/>
      <c r="N79" s="24"/>
      <c r="O79" s="24"/>
      <c r="P79" s="24"/>
      <c r="Q79" s="24"/>
      <c r="R79" s="71"/>
    </row>
    <row r="80" spans="9:18" ht="12.75">
      <c r="I80" s="12"/>
      <c r="J80" s="12"/>
      <c r="K80" s="12"/>
      <c r="L80" s="18"/>
      <c r="M80" s="38"/>
      <c r="N80" s="24"/>
      <c r="O80" s="24"/>
      <c r="P80" s="24"/>
      <c r="Q80" s="24"/>
      <c r="R80" s="71"/>
    </row>
    <row r="81" spans="9:18" ht="12.75">
      <c r="I81" s="12"/>
      <c r="J81" s="12"/>
      <c r="K81" s="12"/>
      <c r="L81" s="18"/>
      <c r="M81" s="18"/>
      <c r="N81" s="18"/>
      <c r="O81" s="18"/>
      <c r="P81" s="18"/>
      <c r="Q81" s="18"/>
      <c r="R81" s="12"/>
    </row>
    <row r="82" spans="9:18" ht="12.75">
      <c r="I82" s="12"/>
      <c r="J82" s="12"/>
      <c r="K82" s="12"/>
      <c r="L82" s="18"/>
      <c r="M82" s="18"/>
      <c r="N82" s="18"/>
      <c r="O82" s="18"/>
      <c r="P82" s="38"/>
      <c r="Q82" s="22"/>
      <c r="R82" s="12"/>
    </row>
    <row r="83" spans="9:18" ht="12.75">
      <c r="I83" s="12"/>
      <c r="J83" s="12"/>
      <c r="K83" s="12"/>
      <c r="L83" s="18"/>
      <c r="M83" s="18"/>
      <c r="N83" s="18"/>
      <c r="O83" s="18"/>
      <c r="P83" s="258"/>
      <c r="Q83" s="258"/>
      <c r="R83" s="12"/>
    </row>
    <row r="84" spans="9:18" ht="12.75">
      <c r="I84" s="12"/>
      <c r="J84" s="12"/>
      <c r="K84" s="12"/>
      <c r="L84" s="18"/>
      <c r="M84" s="18"/>
      <c r="N84" s="18"/>
      <c r="O84" s="18"/>
      <c r="P84" s="38"/>
      <c r="Q84" s="22"/>
      <c r="R84" s="12"/>
    </row>
    <row r="85" spans="9:18" ht="12.75">
      <c r="I85" s="12"/>
      <c r="J85" s="12"/>
      <c r="K85" s="12"/>
      <c r="L85" s="12"/>
      <c r="M85" s="12"/>
      <c r="N85" s="12"/>
      <c r="O85" s="12"/>
      <c r="P85" s="12"/>
      <c r="Q85" s="23"/>
      <c r="R85" s="12"/>
    </row>
    <row r="86" spans="9:18" ht="12.75">
      <c r="I86" s="12"/>
      <c r="J86" s="12"/>
      <c r="K86" s="12"/>
      <c r="L86" s="12"/>
      <c r="M86" s="12"/>
      <c r="N86" s="12"/>
      <c r="O86" s="12"/>
      <c r="P86" s="12"/>
      <c r="Q86" s="38"/>
      <c r="R86" s="12"/>
    </row>
    <row r="87" spans="9:18" ht="12.75">
      <c r="I87" s="12"/>
      <c r="J87" s="12"/>
      <c r="K87" s="12"/>
      <c r="L87" s="12"/>
      <c r="M87" s="12"/>
      <c r="N87" s="12"/>
      <c r="O87" s="12"/>
      <c r="P87" s="12"/>
      <c r="Q87" s="38"/>
      <c r="R87" s="12"/>
    </row>
    <row r="88" spans="9:18" ht="12.75"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9:18" ht="12.75">
      <c r="I89" s="12"/>
      <c r="J89" s="12"/>
      <c r="K89" s="12"/>
      <c r="L89" s="38"/>
      <c r="M89" s="12"/>
      <c r="N89" s="38"/>
      <c r="O89" s="18"/>
      <c r="P89" s="18"/>
      <c r="Q89" s="18"/>
      <c r="R89" s="12"/>
    </row>
    <row r="90" spans="9:18" ht="12.75">
      <c r="I90" s="12"/>
      <c r="J90" s="12"/>
      <c r="K90" s="12"/>
      <c r="L90" s="12"/>
      <c r="M90" s="12"/>
      <c r="N90" s="38"/>
      <c r="O90" s="18"/>
      <c r="P90" s="18"/>
      <c r="Q90" s="18"/>
      <c r="R90" s="12"/>
    </row>
    <row r="91" spans="9:18" ht="12.75">
      <c r="I91" s="12"/>
      <c r="J91" s="12"/>
      <c r="K91" s="12"/>
      <c r="L91" s="38"/>
      <c r="M91" s="219"/>
      <c r="N91" s="38"/>
      <c r="O91" s="18"/>
      <c r="P91" s="18"/>
      <c r="Q91" s="219"/>
      <c r="R91" s="12"/>
    </row>
    <row r="92" spans="9:18" ht="12.75"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9:18" ht="12.75"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9:18" ht="12.75"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9:18" ht="12.75"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9:18" ht="12.75"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9:18" ht="12.75"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9:18" ht="12.75"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9:18" ht="12.75"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9:18" ht="12.75"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9:18" ht="12.75"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9:18" ht="12.75"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9:18" ht="12.75"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9:18" ht="12.75"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9:18" ht="12.75"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9:18" ht="12.75"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12" spans="1:1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"/>
      <c r="C124" s="1"/>
      <c r="D124" s="1"/>
      <c r="E124" s="1"/>
      <c r="F124" s="1"/>
      <c r="G124" s="1"/>
      <c r="H124" s="1"/>
      <c r="I124" s="33"/>
      <c r="J124" s="1"/>
      <c r="K124" s="1"/>
    </row>
    <row r="125" spans="1:11" ht="14.25">
      <c r="A125" s="1"/>
      <c r="B125" s="1"/>
      <c r="C125" s="1"/>
      <c r="D125" s="1"/>
      <c r="E125" s="1"/>
      <c r="F125" s="1"/>
      <c r="G125" s="1"/>
      <c r="H125" s="1"/>
      <c r="I125" s="34"/>
      <c r="J125" s="1"/>
      <c r="K125" s="1"/>
    </row>
    <row r="126" spans="1:11" ht="14.25">
      <c r="A126" s="1"/>
      <c r="B126" s="1"/>
      <c r="C126" s="1"/>
      <c r="D126" s="1"/>
      <c r="E126" s="1"/>
      <c r="F126" s="1"/>
      <c r="G126" s="1"/>
      <c r="H126" s="1"/>
      <c r="I126" s="34"/>
      <c r="J126" s="1"/>
      <c r="K126" s="1"/>
    </row>
    <row r="127" spans="1:11" ht="14.25">
      <c r="A127" s="1"/>
      <c r="B127" s="1"/>
      <c r="C127" s="1"/>
      <c r="D127" s="1"/>
      <c r="E127" s="1"/>
      <c r="F127" s="1"/>
      <c r="G127" s="1"/>
      <c r="H127" s="1"/>
      <c r="I127" s="33"/>
      <c r="J127" s="1"/>
      <c r="K127" s="1"/>
    </row>
    <row r="128" spans="1:11" ht="14.25">
      <c r="A128" s="1"/>
      <c r="B128" s="1"/>
      <c r="C128" s="1"/>
      <c r="D128" s="1"/>
      <c r="E128" s="1"/>
      <c r="F128" s="1"/>
      <c r="G128" s="1"/>
      <c r="H128" s="1"/>
      <c r="I128" s="33"/>
      <c r="J128" s="1"/>
      <c r="K128" s="1"/>
    </row>
    <row r="129" spans="1:11" ht="14.25">
      <c r="A129" s="3"/>
      <c r="B129" s="1"/>
      <c r="C129" s="1"/>
      <c r="D129" s="1"/>
      <c r="E129" s="1"/>
      <c r="F129" s="1"/>
      <c r="G129" s="1"/>
      <c r="H129" s="1"/>
      <c r="I129" s="35"/>
      <c r="J129" s="1"/>
      <c r="K129" s="1"/>
    </row>
    <row r="130" spans="1:11" ht="14.25">
      <c r="A130" s="1"/>
      <c r="B130" s="1"/>
      <c r="C130" s="1"/>
      <c r="D130" s="1"/>
      <c r="E130" s="1"/>
      <c r="F130" s="1"/>
      <c r="G130" s="1"/>
      <c r="H130" s="1"/>
      <c r="I130" s="33"/>
      <c r="J130" s="1"/>
      <c r="K130" s="1"/>
    </row>
    <row r="131" spans="1:11" ht="14.25">
      <c r="A131" s="3"/>
      <c r="B131" s="1"/>
      <c r="C131" s="1"/>
      <c r="D131" s="1"/>
      <c r="E131" s="1"/>
      <c r="F131" s="1"/>
      <c r="G131" s="1"/>
      <c r="H131" s="1"/>
      <c r="I131" s="36"/>
      <c r="J131" s="1"/>
      <c r="K131" s="1"/>
    </row>
    <row r="132" spans="1:11" ht="14.25">
      <c r="A132" s="32"/>
      <c r="B132" s="1"/>
      <c r="C132" s="1"/>
      <c r="D132" s="1"/>
      <c r="E132" s="1"/>
      <c r="F132" s="1"/>
      <c r="G132" s="1"/>
      <c r="H132" s="1"/>
      <c r="I132" s="33"/>
      <c r="J132" s="1"/>
      <c r="K132" s="1"/>
    </row>
    <row r="133" spans="1:11" ht="14.25">
      <c r="A133" s="1"/>
      <c r="B133" s="1"/>
      <c r="C133" s="1"/>
      <c r="D133" s="1"/>
      <c r="E133" s="1"/>
      <c r="F133" s="1"/>
      <c r="G133" s="1"/>
      <c r="H133" s="1"/>
      <c r="I133" s="33"/>
      <c r="J133" s="1"/>
      <c r="K133" s="1"/>
    </row>
    <row r="134" spans="1:11" ht="14.25">
      <c r="A134" s="3"/>
      <c r="B134" s="3"/>
      <c r="C134" s="1"/>
      <c r="D134" s="1"/>
      <c r="E134" s="1"/>
      <c r="F134" s="1"/>
      <c r="G134" s="1"/>
      <c r="H134" s="1"/>
      <c r="I134" s="33"/>
      <c r="J134" s="1"/>
      <c r="K134" s="1"/>
    </row>
    <row r="135" spans="1:11" ht="14.25">
      <c r="A135" s="3"/>
      <c r="B135" s="3"/>
      <c r="C135" s="1"/>
      <c r="D135" s="1"/>
      <c r="E135" s="1"/>
      <c r="F135" s="1"/>
      <c r="G135" s="1"/>
      <c r="H135" s="1"/>
      <c r="I135" s="3"/>
      <c r="J135" s="1"/>
      <c r="K135" s="1"/>
    </row>
    <row r="136" spans="1:1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40" spans="1:10" ht="14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65" spans="1:11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1:11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1:11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1:11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1:11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1:11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1:11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</row>
  </sheetData>
  <sheetProtection/>
  <mergeCells count="8">
    <mergeCell ref="E55:F55"/>
    <mergeCell ref="E57:F57"/>
    <mergeCell ref="C3:D3"/>
    <mergeCell ref="F3:G3"/>
    <mergeCell ref="E5:F5"/>
    <mergeCell ref="C5:D5"/>
    <mergeCell ref="C40:D40"/>
    <mergeCell ref="E40:F40"/>
  </mergeCells>
  <printOptions/>
  <pageMargins left="0.63" right="0.43" top="0.984251968503937" bottom="0.56" header="0.5118110236220472" footer="0.44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E440"/>
  <sheetViews>
    <sheetView zoomScalePageLayoutView="0" workbookViewId="0" topLeftCell="A61">
      <selection activeCell="A52" sqref="A52:E102"/>
    </sheetView>
  </sheetViews>
  <sheetFormatPr defaultColWidth="9.140625" defaultRowHeight="12.75"/>
  <cols>
    <col min="1" max="1" width="29.7109375" style="0" customWidth="1"/>
    <col min="2" max="2" width="19.28125" style="0" customWidth="1"/>
    <col min="3" max="3" width="40.28125" style="0" customWidth="1"/>
    <col min="4" max="4" width="16.8515625" style="0" customWidth="1"/>
    <col min="5" max="5" width="20.8515625" style="0" customWidth="1"/>
    <col min="6" max="6" width="21.28125" style="0" customWidth="1"/>
    <col min="7" max="7" width="7.7109375" style="0" customWidth="1"/>
    <col min="8" max="8" width="10.140625" style="0" customWidth="1"/>
    <col min="9" max="9" width="10.28125" style="0" customWidth="1"/>
    <col min="10" max="10" width="16.140625" style="0" customWidth="1"/>
    <col min="11" max="11" width="13.8515625" style="0" customWidth="1"/>
    <col min="12" max="12" width="7.00390625" style="0" customWidth="1"/>
    <col min="13" max="14" width="10.28125" style="0" customWidth="1"/>
    <col min="15" max="15" width="17.7109375" style="0" customWidth="1"/>
    <col min="16" max="16" width="17.8515625" style="0" customWidth="1"/>
    <col min="17" max="17" width="7.421875" style="0" customWidth="1"/>
    <col min="18" max="18" width="12.421875" style="0" customWidth="1"/>
    <col min="22" max="22" width="10.57421875" style="0" bestFit="1" customWidth="1"/>
    <col min="24" max="24" width="11.00390625" style="0" bestFit="1" customWidth="1"/>
  </cols>
  <sheetData>
    <row r="2" spans="1:5" ht="14.25">
      <c r="A2" s="86"/>
      <c r="B2" s="84"/>
      <c r="C2" s="86"/>
      <c r="D2" s="86"/>
      <c r="E2" s="1"/>
    </row>
    <row r="3" spans="1:5" ht="14.25">
      <c r="A3" s="86"/>
      <c r="B3" s="84"/>
      <c r="C3" s="86"/>
      <c r="D3" s="86"/>
      <c r="E3" s="1"/>
    </row>
    <row r="4" spans="1:5" ht="14.25">
      <c r="A4" s="86"/>
      <c r="B4" s="84"/>
      <c r="C4" s="86"/>
      <c r="D4" s="86"/>
      <c r="E4" s="1"/>
    </row>
    <row r="5" spans="1:5" ht="14.25">
      <c r="A5" s="86"/>
      <c r="B5" s="84"/>
      <c r="C5" s="86"/>
      <c r="D5" s="86"/>
      <c r="E5" s="1"/>
    </row>
    <row r="6" spans="1:5" ht="14.25">
      <c r="A6" s="86"/>
      <c r="B6" s="84"/>
      <c r="C6" s="86"/>
      <c r="D6" s="86"/>
      <c r="E6" s="1"/>
    </row>
    <row r="7" spans="1:5" ht="14.25">
      <c r="A7" s="86"/>
      <c r="B7" s="84"/>
      <c r="C7" s="86"/>
      <c r="D7" s="86"/>
      <c r="E7" s="1"/>
    </row>
    <row r="8" spans="1:5" ht="14.25">
      <c r="A8" s="86"/>
      <c r="B8" s="84"/>
      <c r="C8" s="86"/>
      <c r="D8" s="86"/>
      <c r="E8" s="1"/>
    </row>
    <row r="9" spans="1:5" ht="14.25">
      <c r="A9" s="86"/>
      <c r="B9" s="84"/>
      <c r="C9" s="86"/>
      <c r="D9" s="86"/>
      <c r="E9" s="1"/>
    </row>
    <row r="10" spans="1:5" ht="14.25">
      <c r="A10" s="86"/>
      <c r="B10" s="84"/>
      <c r="C10" s="86"/>
      <c r="D10" s="86"/>
      <c r="E10" s="1"/>
    </row>
    <row r="11" spans="1:5" ht="14.25">
      <c r="A11" s="86"/>
      <c r="B11" s="84"/>
      <c r="C11" s="86"/>
      <c r="D11" s="86"/>
      <c r="E11" s="1"/>
    </row>
    <row r="12" spans="1:5" ht="14.25">
      <c r="A12" s="86"/>
      <c r="B12" s="84"/>
      <c r="C12" s="86"/>
      <c r="D12" s="86"/>
      <c r="E12" s="1"/>
    </row>
    <row r="13" spans="1:5" ht="14.25">
      <c r="A13" s="86"/>
      <c r="B13" s="84"/>
      <c r="C13" s="86"/>
      <c r="D13" s="86"/>
      <c r="E13" s="1"/>
    </row>
    <row r="14" spans="1:5" ht="14.25">
      <c r="A14" s="86"/>
      <c r="B14" s="84"/>
      <c r="C14" s="86"/>
      <c r="D14" s="86"/>
      <c r="E14" s="1"/>
    </row>
    <row r="15" spans="1:5" ht="14.25">
      <c r="A15" s="86"/>
      <c r="B15" s="84"/>
      <c r="C15" s="86"/>
      <c r="D15" s="86"/>
      <c r="E15" s="1"/>
    </row>
    <row r="16" spans="1:5" ht="14.25">
      <c r="A16" s="86"/>
      <c r="B16" s="84"/>
      <c r="C16" s="86"/>
      <c r="D16" s="86"/>
      <c r="E16" s="1"/>
    </row>
    <row r="17" spans="1:5" ht="14.25">
      <c r="A17" s="86"/>
      <c r="B17" s="84"/>
      <c r="C17" s="86"/>
      <c r="D17" s="86"/>
      <c r="E17" s="1"/>
    </row>
    <row r="18" spans="2:4" ht="14.25">
      <c r="B18" s="84"/>
      <c r="D18" s="86"/>
    </row>
    <row r="19" spans="1:17" ht="14.25">
      <c r="A19" s="41"/>
      <c r="B19" s="85"/>
      <c r="C19" s="41"/>
      <c r="D19" s="83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22" ht="14.2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V20" s="19"/>
    </row>
    <row r="21" spans="1:22" ht="14.25">
      <c r="A21" s="41"/>
      <c r="B21" s="41"/>
      <c r="C21" s="41"/>
      <c r="D21" s="41"/>
      <c r="E21" s="41"/>
      <c r="F21" s="43"/>
      <c r="G21" s="43"/>
      <c r="H21" s="42"/>
      <c r="I21" s="42"/>
      <c r="J21" s="42"/>
      <c r="K21" s="42"/>
      <c r="L21" s="42"/>
      <c r="M21" s="42"/>
      <c r="N21" s="42"/>
      <c r="O21" s="42"/>
      <c r="P21" s="42"/>
      <c r="Q21" s="42"/>
      <c r="V21" s="19"/>
    </row>
    <row r="22" spans="1:22" ht="14.25">
      <c r="A22" s="41"/>
      <c r="B22" s="89"/>
      <c r="C22" s="41"/>
      <c r="D22" s="89"/>
      <c r="E22" s="83"/>
      <c r="F22" s="42"/>
      <c r="G22" s="42"/>
      <c r="H22" s="43"/>
      <c r="I22" s="42"/>
      <c r="J22" s="42"/>
      <c r="K22" s="42"/>
      <c r="L22" s="42"/>
      <c r="M22" s="42"/>
      <c r="N22" s="42"/>
      <c r="O22" s="42"/>
      <c r="P22" s="42"/>
      <c r="Q22" s="42"/>
      <c r="V22" s="19"/>
    </row>
    <row r="23" spans="1:22" ht="14.25">
      <c r="A23" s="41"/>
      <c r="B23" s="89"/>
      <c r="C23" s="41"/>
      <c r="D23" s="90"/>
      <c r="E23" s="88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V23" s="19"/>
    </row>
    <row r="24" spans="1:22" ht="14.25">
      <c r="A24" s="41"/>
      <c r="B24" s="89"/>
      <c r="C24" s="41"/>
      <c r="D24" s="90"/>
      <c r="E24" s="83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V24" s="19"/>
    </row>
    <row r="25" spans="1:22" ht="14.25">
      <c r="A25" s="41"/>
      <c r="B25" s="89"/>
      <c r="C25" s="41"/>
      <c r="D25" s="89"/>
      <c r="E25" s="83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V25" s="19"/>
    </row>
    <row r="26" spans="1:22" ht="14.25">
      <c r="A26" s="41"/>
      <c r="B26" s="89"/>
      <c r="C26" s="41"/>
      <c r="D26" s="90"/>
      <c r="E26" s="83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V26" s="19"/>
    </row>
    <row r="27" spans="1:22" ht="14.25">
      <c r="A27" s="41"/>
      <c r="B27" s="89"/>
      <c r="C27" s="41"/>
      <c r="D27" s="89"/>
      <c r="E27" s="83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V27" s="19"/>
    </row>
    <row r="28" spans="1:22" ht="14.25">
      <c r="A28" s="41"/>
      <c r="B28" s="89"/>
      <c r="C28" s="41"/>
      <c r="D28" s="89"/>
      <c r="E28" s="8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V28" s="19"/>
    </row>
    <row r="29" spans="1:22" ht="14.25">
      <c r="A29" s="41"/>
      <c r="B29" s="89"/>
      <c r="C29" s="41"/>
      <c r="D29" s="89"/>
      <c r="E29" s="83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V29" s="19"/>
    </row>
    <row r="30" spans="1:22" ht="14.25">
      <c r="A30" s="41"/>
      <c r="B30" s="89"/>
      <c r="C30" s="41"/>
      <c r="D30" s="92"/>
      <c r="E30" s="83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V30" s="19"/>
    </row>
    <row r="31" spans="1:17" ht="14.25">
      <c r="A31" s="41"/>
      <c r="B31" s="89"/>
      <c r="C31" s="41"/>
      <c r="D31" s="89"/>
      <c r="E31" s="88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ht="14.25">
      <c r="A32" s="41"/>
      <c r="B32" s="89"/>
      <c r="C32" s="41"/>
      <c r="D32" s="89"/>
      <c r="E32" s="83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14.25">
      <c r="A33" s="41"/>
      <c r="B33" s="89"/>
      <c r="C33" s="41"/>
      <c r="D33" s="90"/>
      <c r="E33" s="83"/>
      <c r="F33" s="24"/>
      <c r="G33" s="24"/>
      <c r="H33" s="44"/>
      <c r="I33" s="24"/>
      <c r="J33" s="24"/>
      <c r="K33" s="24"/>
      <c r="L33" s="24"/>
      <c r="M33" s="43"/>
      <c r="N33" s="42"/>
      <c r="O33" s="42"/>
      <c r="P33" s="42"/>
      <c r="Q33" s="42"/>
    </row>
    <row r="34" spans="1:17" ht="14.25">
      <c r="A34" s="41"/>
      <c r="B34" s="89"/>
      <c r="C34" s="41"/>
      <c r="D34" s="89"/>
      <c r="E34" s="83"/>
      <c r="F34" s="43"/>
      <c r="G34" s="43"/>
      <c r="H34" s="43"/>
      <c r="I34" s="43"/>
      <c r="J34" s="24"/>
      <c r="K34" s="24"/>
      <c r="L34" s="24"/>
      <c r="M34" s="24"/>
      <c r="N34" s="42"/>
      <c r="O34" s="42"/>
      <c r="P34" s="42"/>
      <c r="Q34" s="42"/>
    </row>
    <row r="35" spans="1:17" ht="14.25">
      <c r="A35" s="41"/>
      <c r="B35" s="89"/>
      <c r="C35" s="41"/>
      <c r="D35" s="89"/>
      <c r="E35" s="83"/>
      <c r="F35" s="42"/>
      <c r="G35" s="42"/>
      <c r="H35" s="24"/>
      <c r="I35" s="24"/>
      <c r="J35" s="24"/>
      <c r="K35" s="24"/>
      <c r="L35" s="24"/>
      <c r="M35" s="43"/>
      <c r="N35" s="42"/>
      <c r="O35" s="42"/>
      <c r="P35" s="42"/>
      <c r="Q35" s="42"/>
    </row>
    <row r="36" spans="1:16" ht="14.25">
      <c r="A36" s="41"/>
      <c r="B36" s="89"/>
      <c r="C36" s="41"/>
      <c r="D36" s="89"/>
      <c r="E36" s="83"/>
      <c r="F36" s="43"/>
      <c r="G36" s="43"/>
      <c r="H36" s="24"/>
      <c r="I36" s="24"/>
      <c r="J36" s="24"/>
      <c r="K36" s="24"/>
      <c r="L36" s="24"/>
      <c r="M36" s="42"/>
      <c r="N36" s="42"/>
      <c r="O36" s="42"/>
      <c r="P36" s="42"/>
    </row>
    <row r="37" spans="1:31" ht="14.25">
      <c r="A37" s="41"/>
      <c r="B37" s="89"/>
      <c r="C37" s="41"/>
      <c r="D37" s="89"/>
      <c r="E37" s="83"/>
      <c r="F37" s="43"/>
      <c r="G37" s="43"/>
      <c r="H37" s="24"/>
      <c r="I37" s="40"/>
      <c r="J37" s="24"/>
      <c r="K37" s="40"/>
      <c r="L37" s="42"/>
      <c r="M37" s="42"/>
      <c r="N37" s="42"/>
      <c r="O37" s="42"/>
      <c r="P37" s="42"/>
      <c r="AD37" s="28"/>
      <c r="AE37" s="28"/>
    </row>
    <row r="38" spans="1:16" ht="14.25">
      <c r="A38" s="41"/>
      <c r="B38" s="89"/>
      <c r="C38" s="41"/>
      <c r="D38" s="89"/>
      <c r="E38" s="83"/>
      <c r="F38" s="39"/>
      <c r="G38" s="43"/>
      <c r="H38" s="24"/>
      <c r="I38" s="45"/>
      <c r="J38" s="39"/>
      <c r="K38" s="46"/>
      <c r="L38" s="46"/>
      <c r="M38" s="42"/>
      <c r="N38" s="42"/>
      <c r="O38" s="42"/>
      <c r="P38" s="42"/>
    </row>
    <row r="39" spans="1:16" ht="14.25">
      <c r="A39" s="41"/>
      <c r="B39" s="89"/>
      <c r="C39" s="41"/>
      <c r="D39" s="89"/>
      <c r="E39" s="88"/>
      <c r="F39" s="43"/>
      <c r="G39" s="24"/>
      <c r="H39" s="40"/>
      <c r="I39" s="40"/>
      <c r="J39" s="24"/>
      <c r="K39" s="24"/>
      <c r="L39" s="24"/>
      <c r="M39" s="48"/>
      <c r="N39" s="42"/>
      <c r="O39" s="42"/>
      <c r="P39" s="42"/>
    </row>
    <row r="40" spans="1:16" ht="14.25">
      <c r="A40" s="41"/>
      <c r="B40" s="89"/>
      <c r="C40" s="41"/>
      <c r="D40" s="89"/>
      <c r="E40" s="83"/>
      <c r="F40" s="39"/>
      <c r="G40" s="24"/>
      <c r="H40" s="24"/>
      <c r="I40" s="45"/>
      <c r="J40" s="39"/>
      <c r="K40" s="45"/>
      <c r="L40" s="45"/>
      <c r="M40" s="42"/>
      <c r="N40" s="42"/>
      <c r="O40" s="42"/>
      <c r="P40" s="42"/>
    </row>
    <row r="41" spans="1:16" ht="14.25">
      <c r="A41" s="41"/>
      <c r="B41" s="89"/>
      <c r="C41" s="41"/>
      <c r="D41" s="90"/>
      <c r="E41" s="87"/>
      <c r="F41" s="43"/>
      <c r="G41" s="24"/>
      <c r="H41" s="24"/>
      <c r="I41" s="40"/>
      <c r="J41" s="24"/>
      <c r="K41" s="40"/>
      <c r="L41" s="40"/>
      <c r="M41" s="48"/>
      <c r="N41" s="42"/>
      <c r="O41" s="42"/>
      <c r="P41" s="42"/>
    </row>
    <row r="42" spans="1:21" ht="14.25">
      <c r="A42" s="41"/>
      <c r="B42" s="41"/>
      <c r="C42" s="41"/>
      <c r="D42" s="90"/>
      <c r="E42" s="83"/>
      <c r="F42" s="39"/>
      <c r="G42" s="24"/>
      <c r="H42" s="24"/>
      <c r="I42" s="45"/>
      <c r="J42" s="39"/>
      <c r="K42" s="46"/>
      <c r="L42" s="46"/>
      <c r="M42" s="48"/>
      <c r="N42" s="42"/>
      <c r="O42" s="50"/>
      <c r="P42" s="50"/>
      <c r="Q42" s="50"/>
      <c r="R42" s="57"/>
      <c r="S42" s="50"/>
      <c r="U42" s="50"/>
    </row>
    <row r="43" spans="1:21" ht="14.25">
      <c r="A43" s="41"/>
      <c r="B43" s="49"/>
      <c r="C43" s="41"/>
      <c r="D43" s="41"/>
      <c r="E43" s="41"/>
      <c r="F43" s="43"/>
      <c r="G43" s="24"/>
      <c r="H43" s="24"/>
      <c r="I43" s="40"/>
      <c r="J43" s="24"/>
      <c r="K43" s="40"/>
      <c r="L43" s="40"/>
      <c r="M43" s="48"/>
      <c r="N43" s="42"/>
      <c r="O43" s="42"/>
      <c r="P43" s="42"/>
      <c r="S43" s="42"/>
      <c r="U43" s="42"/>
    </row>
    <row r="44" spans="1:21" ht="14.25">
      <c r="A44" s="41"/>
      <c r="B44" s="41"/>
      <c r="C44" s="41"/>
      <c r="D44" s="41"/>
      <c r="E44" s="41"/>
      <c r="F44" s="39"/>
      <c r="G44" s="24"/>
      <c r="H44" s="24"/>
      <c r="I44" s="45"/>
      <c r="J44" s="24"/>
      <c r="K44" s="46"/>
      <c r="L44" s="46"/>
      <c r="M44" s="59"/>
      <c r="N44" s="42"/>
      <c r="O44" s="50"/>
      <c r="P44" s="50"/>
      <c r="Q44" s="4"/>
      <c r="R44" s="57"/>
      <c r="S44" s="50"/>
      <c r="U44" s="50"/>
    </row>
    <row r="45" spans="1:21" ht="14.25">
      <c r="A45" s="41"/>
      <c r="B45" s="41"/>
      <c r="C45" s="41"/>
      <c r="D45" s="41"/>
      <c r="E45" s="47"/>
      <c r="F45" s="43"/>
      <c r="G45" s="24"/>
      <c r="H45" s="24"/>
      <c r="I45" s="40"/>
      <c r="J45" s="24"/>
      <c r="K45" s="40"/>
      <c r="L45" s="40"/>
      <c r="M45" s="48"/>
      <c r="N45" s="48"/>
      <c r="O45" s="50"/>
      <c r="P45" s="50"/>
      <c r="Q45" s="4"/>
      <c r="R45" s="4"/>
      <c r="S45" s="50"/>
      <c r="U45" s="50"/>
    </row>
    <row r="46" spans="1:21" ht="14.25">
      <c r="A46" s="41"/>
      <c r="B46" s="41"/>
      <c r="C46" s="41"/>
      <c r="D46" s="41"/>
      <c r="E46" s="41"/>
      <c r="F46" s="39"/>
      <c r="G46" s="24"/>
      <c r="H46" s="24"/>
      <c r="I46" s="45"/>
      <c r="J46" s="24"/>
      <c r="K46" s="45"/>
      <c r="L46" s="45"/>
      <c r="M46" s="42"/>
      <c r="N46" s="42"/>
      <c r="O46" s="50"/>
      <c r="P46" s="50"/>
      <c r="Q46" s="4"/>
      <c r="R46" s="57"/>
      <c r="S46" s="50"/>
      <c r="U46" s="50"/>
    </row>
    <row r="47" spans="1:21" ht="14.25">
      <c r="A47" s="41"/>
      <c r="B47" s="41"/>
      <c r="C47" s="41"/>
      <c r="D47" s="41"/>
      <c r="E47" s="41"/>
      <c r="F47" s="43"/>
      <c r="G47" s="24"/>
      <c r="H47" s="24"/>
      <c r="I47" s="24"/>
      <c r="J47" s="24"/>
      <c r="K47" s="40"/>
      <c r="L47" s="40"/>
      <c r="M47" s="42"/>
      <c r="N47" s="42"/>
      <c r="O47" s="50"/>
      <c r="P47" s="50"/>
      <c r="Q47" s="4"/>
      <c r="R47" s="4"/>
      <c r="S47" s="50"/>
      <c r="U47" s="50"/>
    </row>
    <row r="48" spans="1:21" ht="14.25">
      <c r="A48" s="41"/>
      <c r="B48" s="41"/>
      <c r="C48" s="41"/>
      <c r="D48" s="41"/>
      <c r="E48" s="41"/>
      <c r="F48" s="43"/>
      <c r="G48" s="24"/>
      <c r="H48" s="24"/>
      <c r="I48" s="24"/>
      <c r="J48" s="24"/>
      <c r="K48" s="40"/>
      <c r="L48" s="40"/>
      <c r="M48" s="42"/>
      <c r="N48" s="42"/>
      <c r="O48" s="50"/>
      <c r="P48" s="50"/>
      <c r="Q48" s="4"/>
      <c r="R48" s="4"/>
      <c r="S48" s="50"/>
      <c r="U48" s="50"/>
    </row>
    <row r="49" spans="1:21" ht="14.25">
      <c r="A49" s="41"/>
      <c r="B49" s="41"/>
      <c r="C49" s="41"/>
      <c r="D49" s="41"/>
      <c r="E49" s="41"/>
      <c r="F49" s="43"/>
      <c r="G49" s="24"/>
      <c r="H49" s="24"/>
      <c r="I49" s="24"/>
      <c r="J49" s="24"/>
      <c r="K49" s="40"/>
      <c r="L49" s="40"/>
      <c r="M49" s="42"/>
      <c r="N49" s="42"/>
      <c r="O49" s="50"/>
      <c r="P49" s="50"/>
      <c r="Q49" s="4"/>
      <c r="R49" s="4"/>
      <c r="S49" s="50"/>
      <c r="U49" s="50"/>
    </row>
    <row r="50" spans="1:21" ht="14.25">
      <c r="A50" s="41"/>
      <c r="B50" s="41"/>
      <c r="C50" s="41"/>
      <c r="D50" s="41"/>
      <c r="E50" s="41"/>
      <c r="F50" s="43"/>
      <c r="G50" s="24"/>
      <c r="H50" s="24"/>
      <c r="I50" s="24"/>
      <c r="J50" s="24"/>
      <c r="K50" s="40"/>
      <c r="L50" s="40"/>
      <c r="M50" s="42"/>
      <c r="N50" s="42"/>
      <c r="O50" s="50"/>
      <c r="P50" s="50"/>
      <c r="Q50" s="4"/>
      <c r="R50" s="4"/>
      <c r="S50" s="50"/>
      <c r="U50" s="50"/>
    </row>
    <row r="51" spans="1:21" ht="14.25">
      <c r="A51" s="41"/>
      <c r="B51" s="41"/>
      <c r="C51" s="41"/>
      <c r="D51" s="41"/>
      <c r="E51" s="41"/>
      <c r="F51" s="43"/>
      <c r="G51" s="24"/>
      <c r="H51" s="39"/>
      <c r="I51" s="45"/>
      <c r="J51" s="24"/>
      <c r="K51" s="46"/>
      <c r="L51" s="46"/>
      <c r="M51" s="42"/>
      <c r="N51" s="42"/>
      <c r="O51" s="50"/>
      <c r="P51" s="50"/>
      <c r="Q51" s="4"/>
      <c r="R51" s="57"/>
      <c r="S51" s="50"/>
      <c r="U51" s="50"/>
    </row>
    <row r="52" spans="1:21" ht="14.25">
      <c r="A52" s="41"/>
      <c r="B52" s="41" t="s">
        <v>46</v>
      </c>
      <c r="C52" s="41"/>
      <c r="D52" s="41"/>
      <c r="E52" s="41"/>
      <c r="F52" s="39"/>
      <c r="G52" s="24"/>
      <c r="H52" s="24"/>
      <c r="I52" s="24"/>
      <c r="J52" s="24"/>
      <c r="K52" s="24"/>
      <c r="L52" s="24"/>
      <c r="M52" s="42"/>
      <c r="N52" s="42"/>
      <c r="O52" s="50"/>
      <c r="P52" s="50"/>
      <c r="Q52" s="4"/>
      <c r="R52" s="4"/>
      <c r="S52" s="50"/>
      <c r="U52" s="50"/>
    </row>
    <row r="53" spans="1:21" ht="14.25">
      <c r="A53" s="41"/>
      <c r="B53" s="41"/>
      <c r="C53" s="41"/>
      <c r="D53" s="41"/>
      <c r="E53" s="55"/>
      <c r="F53" s="43"/>
      <c r="G53" s="24"/>
      <c r="H53" s="24"/>
      <c r="I53" s="24"/>
      <c r="J53" s="24"/>
      <c r="K53" s="24"/>
      <c r="L53" s="24"/>
      <c r="M53" s="42"/>
      <c r="N53" s="42"/>
      <c r="O53" s="50"/>
      <c r="P53" s="50"/>
      <c r="Q53" s="4"/>
      <c r="R53" s="57"/>
      <c r="S53" s="50"/>
      <c r="U53" s="50"/>
    </row>
    <row r="54" spans="1:21" ht="14.25">
      <c r="A54" s="41"/>
      <c r="B54" s="41"/>
      <c r="C54" s="41"/>
      <c r="D54" s="49" t="s">
        <v>123</v>
      </c>
      <c r="E54" s="41"/>
      <c r="F54" s="43"/>
      <c r="G54" s="43"/>
      <c r="H54" s="43"/>
      <c r="I54" s="43"/>
      <c r="J54" s="43"/>
      <c r="K54" s="91"/>
      <c r="L54" s="43"/>
      <c r="M54" s="42"/>
      <c r="N54" s="42"/>
      <c r="O54" s="50"/>
      <c r="P54" s="50"/>
      <c r="Q54" s="4"/>
      <c r="R54" s="4"/>
      <c r="S54" s="50"/>
      <c r="U54" s="50"/>
    </row>
    <row r="55" spans="1:17" ht="12.75">
      <c r="A55" s="93"/>
      <c r="B55" s="20" t="s">
        <v>47</v>
      </c>
      <c r="C55" s="95"/>
      <c r="D55" s="94"/>
      <c r="E55" s="96"/>
      <c r="F55" s="43"/>
      <c r="G55" s="43"/>
      <c r="H55" s="43"/>
      <c r="I55" s="43"/>
      <c r="J55" s="51"/>
      <c r="K55" s="51"/>
      <c r="L55" s="51"/>
      <c r="M55" s="42"/>
      <c r="N55" s="42"/>
      <c r="O55" s="42"/>
      <c r="P55" s="42"/>
      <c r="Q55" s="42"/>
    </row>
    <row r="56" spans="1:17" ht="12.75">
      <c r="A56" s="97" t="s">
        <v>37</v>
      </c>
      <c r="B56" s="98" t="s">
        <v>48</v>
      </c>
      <c r="C56" s="99" t="s">
        <v>39</v>
      </c>
      <c r="D56" s="98" t="s">
        <v>41</v>
      </c>
      <c r="E56" s="100" t="s">
        <v>40</v>
      </c>
      <c r="F56" s="42"/>
      <c r="G56" s="42"/>
      <c r="H56" s="42"/>
      <c r="I56" s="42"/>
      <c r="J56" s="42"/>
      <c r="K56" s="24"/>
      <c r="L56" s="24"/>
      <c r="M56" s="42"/>
      <c r="N56" s="42"/>
      <c r="O56" s="42"/>
      <c r="P56" s="42"/>
      <c r="Q56" s="42"/>
    </row>
    <row r="57" spans="1:17" ht="12.75">
      <c r="A57" s="201"/>
      <c r="B57" s="98" t="s">
        <v>49</v>
      </c>
      <c r="C57" s="202"/>
      <c r="D57" s="98" t="s">
        <v>42</v>
      </c>
      <c r="E57" s="203"/>
      <c r="F57" s="42"/>
      <c r="G57" s="42"/>
      <c r="H57" s="42"/>
      <c r="I57" s="42"/>
      <c r="J57" s="42"/>
      <c r="K57" s="24"/>
      <c r="L57" s="24"/>
      <c r="M57" s="42"/>
      <c r="N57" s="42"/>
      <c r="O57" s="42"/>
      <c r="P57" s="42"/>
      <c r="Q57" s="42"/>
    </row>
    <row r="58" spans="1:17" ht="12.75">
      <c r="A58" s="101"/>
      <c r="B58" s="102"/>
      <c r="C58" s="103"/>
      <c r="D58" s="104"/>
      <c r="E58" s="105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7" ht="14.25">
      <c r="A59" s="107" t="s">
        <v>33</v>
      </c>
      <c r="B59" s="111"/>
      <c r="C59" s="108"/>
      <c r="D59" s="127"/>
      <c r="E59" s="113"/>
      <c r="F59" s="24"/>
      <c r="G59" s="42"/>
      <c r="H59" s="24"/>
      <c r="I59" s="43"/>
      <c r="J59" s="43"/>
      <c r="K59" s="43"/>
      <c r="L59" s="43"/>
      <c r="M59" s="42"/>
      <c r="N59" s="42"/>
      <c r="O59" s="42"/>
      <c r="P59" s="42"/>
      <c r="Q59" s="42"/>
    </row>
    <row r="60" spans="1:17" ht="14.25">
      <c r="A60" s="109" t="s">
        <v>34</v>
      </c>
      <c r="B60" s="114">
        <v>333686</v>
      </c>
      <c r="C60" s="115"/>
      <c r="D60" s="128"/>
      <c r="E60" s="116"/>
      <c r="F60" s="24"/>
      <c r="G60" s="52"/>
      <c r="H60" s="24"/>
      <c r="I60" s="43"/>
      <c r="J60" s="43"/>
      <c r="K60" s="52"/>
      <c r="L60" s="52"/>
      <c r="M60" s="42"/>
      <c r="N60" s="42"/>
      <c r="O60" s="42"/>
      <c r="P60" s="42"/>
      <c r="Q60" s="42"/>
    </row>
    <row r="61" spans="1:17" ht="14.25">
      <c r="A61" s="109" t="s">
        <v>35</v>
      </c>
      <c r="B61" s="114">
        <v>2754497</v>
      </c>
      <c r="C61" s="115" t="s">
        <v>43</v>
      </c>
      <c r="D61" s="128">
        <f>1487782+863439</f>
        <v>2351221</v>
      </c>
      <c r="E61" s="116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ht="14.25">
      <c r="A62" s="109"/>
      <c r="B62" s="114"/>
      <c r="C62" s="115" t="s">
        <v>124</v>
      </c>
      <c r="D62" s="128">
        <v>58922</v>
      </c>
      <c r="E62" s="116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1:17" ht="14.25">
      <c r="A63" s="109"/>
      <c r="B63" s="114"/>
      <c r="C63" s="115" t="s">
        <v>125</v>
      </c>
      <c r="D63" s="128">
        <v>128384</v>
      </c>
      <c r="E63" s="116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1:17" ht="14.25">
      <c r="A64" s="109"/>
      <c r="B64" s="114"/>
      <c r="C64" s="115" t="s">
        <v>126</v>
      </c>
      <c r="D64" s="128">
        <v>215970</v>
      </c>
      <c r="E64" s="116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1:17" ht="14.25">
      <c r="A65" s="109"/>
      <c r="B65" s="114"/>
      <c r="C65" s="115" t="s">
        <v>21</v>
      </c>
      <c r="D65" s="128">
        <f>SUM(D61:D64)</f>
        <v>2754497</v>
      </c>
      <c r="E65" s="116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 spans="1:17" ht="14.25">
      <c r="A66" s="109" t="s">
        <v>36</v>
      </c>
      <c r="B66" s="114">
        <v>1796329</v>
      </c>
      <c r="C66" s="115" t="s">
        <v>44</v>
      </c>
      <c r="D66" s="128">
        <v>3439363</v>
      </c>
      <c r="E66" s="116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1:17" ht="14.25">
      <c r="A67" s="117" t="s">
        <v>15</v>
      </c>
      <c r="B67" s="130">
        <f>B60+B61+B66</f>
        <v>4884512</v>
      </c>
      <c r="C67" s="117" t="s">
        <v>15</v>
      </c>
      <c r="D67" s="130">
        <f>D60+D65+D66</f>
        <v>6193860</v>
      </c>
      <c r="E67" s="118">
        <f>B67-D67</f>
        <v>-1309348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1:17" ht="14.25">
      <c r="A68" s="107" t="s">
        <v>38</v>
      </c>
      <c r="B68" s="119"/>
      <c r="C68" s="120"/>
      <c r="D68" s="129"/>
      <c r="E68" s="12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1:17" ht="14.25">
      <c r="A69" s="109" t="s">
        <v>34</v>
      </c>
      <c r="B69" s="114">
        <v>862695</v>
      </c>
      <c r="C69" s="115"/>
      <c r="D69" s="128"/>
      <c r="E69" s="116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1:17" ht="14.25">
      <c r="A70" s="109" t="s">
        <v>35</v>
      </c>
      <c r="B70" s="114">
        <v>1355429</v>
      </c>
      <c r="C70" s="115" t="s">
        <v>127</v>
      </c>
      <c r="D70" s="128">
        <v>1355429</v>
      </c>
      <c r="E70" s="116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1:17" ht="14.25">
      <c r="A71" s="109" t="s">
        <v>36</v>
      </c>
      <c r="B71" s="114">
        <v>4396694</v>
      </c>
      <c r="C71" s="115" t="s">
        <v>128</v>
      </c>
      <c r="D71" s="128">
        <v>990011</v>
      </c>
      <c r="E71" s="116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1:17" ht="14.25">
      <c r="A72" s="109"/>
      <c r="B72" s="114"/>
      <c r="C72" s="115" t="s">
        <v>132</v>
      </c>
      <c r="D72" s="128">
        <v>133119</v>
      </c>
      <c r="E72" s="116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1:17" ht="14.25">
      <c r="A73" s="117" t="s">
        <v>15</v>
      </c>
      <c r="B73" s="130">
        <f>B69+B70+B71</f>
        <v>6614818</v>
      </c>
      <c r="C73" s="117" t="s">
        <v>15</v>
      </c>
      <c r="D73" s="130">
        <f>D69+D70+D71+D72</f>
        <v>2478559</v>
      </c>
      <c r="E73" s="118">
        <f>B73-D73</f>
        <v>4136259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1:17" ht="14.25">
      <c r="A74" s="209" t="s">
        <v>134</v>
      </c>
      <c r="B74" s="119"/>
      <c r="C74" s="207"/>
      <c r="D74" s="128"/>
      <c r="E74" s="193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1:17" ht="14.25">
      <c r="A75" s="210" t="s">
        <v>34</v>
      </c>
      <c r="B75" s="114">
        <v>60816</v>
      </c>
      <c r="C75" s="207"/>
      <c r="D75" s="128"/>
      <c r="E75" s="193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ht="14.25">
      <c r="A76" s="210" t="s">
        <v>35</v>
      </c>
      <c r="B76" s="114">
        <v>336232</v>
      </c>
      <c r="C76" s="115" t="s">
        <v>135</v>
      </c>
      <c r="D76" s="128">
        <v>336232</v>
      </c>
      <c r="E76" s="193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ht="14.25">
      <c r="A77" s="210" t="s">
        <v>36</v>
      </c>
      <c r="B77" s="114">
        <v>28118</v>
      </c>
      <c r="C77" s="207"/>
      <c r="D77" s="128"/>
      <c r="E77" s="193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ht="14.25">
      <c r="A78" s="211" t="s">
        <v>15</v>
      </c>
      <c r="B78" s="130">
        <f>SUM(B75:B77)</f>
        <v>425166</v>
      </c>
      <c r="C78" s="117" t="s">
        <v>15</v>
      </c>
      <c r="D78" s="130">
        <f>D76</f>
        <v>336232</v>
      </c>
      <c r="E78" s="193">
        <f>B78-D78</f>
        <v>88934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ht="14.25">
      <c r="A79" s="208" t="s">
        <v>45</v>
      </c>
      <c r="B79" s="122"/>
      <c r="C79" s="204"/>
      <c r="D79" s="129"/>
      <c r="E79" s="121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ht="14.25">
      <c r="A80" s="109" t="s">
        <v>34</v>
      </c>
      <c r="B80" s="114">
        <v>410146</v>
      </c>
      <c r="C80" s="205"/>
      <c r="D80" s="128"/>
      <c r="E80" s="116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ht="14.25">
      <c r="A81" s="109" t="s">
        <v>35</v>
      </c>
      <c r="B81" s="114">
        <v>1067428</v>
      </c>
      <c r="C81" s="115" t="s">
        <v>129</v>
      </c>
      <c r="D81" s="128">
        <v>1067428</v>
      </c>
      <c r="E81" s="116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ht="14.25">
      <c r="A82" s="109" t="s">
        <v>36</v>
      </c>
      <c r="B82" s="114">
        <v>727825</v>
      </c>
      <c r="C82" s="205"/>
      <c r="D82" s="128"/>
      <c r="E82" s="116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s="15" customFormat="1" ht="15">
      <c r="A83" s="117" t="s">
        <v>15</v>
      </c>
      <c r="B83" s="123">
        <f>B80+B81+B82</f>
        <v>2205399</v>
      </c>
      <c r="C83" s="124" t="s">
        <v>15</v>
      </c>
      <c r="D83" s="130">
        <f>D81</f>
        <v>1067428</v>
      </c>
      <c r="E83" s="118">
        <f>B83-D83</f>
        <v>1137971</v>
      </c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1:17" ht="14.25">
      <c r="A84" s="112"/>
      <c r="B84" s="126"/>
      <c r="C84" s="125"/>
      <c r="D84" s="131"/>
      <c r="E84" s="13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ht="15">
      <c r="A85" s="110"/>
      <c r="B85" s="133">
        <f>B67+B73+B83+B78</f>
        <v>14129895</v>
      </c>
      <c r="C85" s="124" t="s">
        <v>50</v>
      </c>
      <c r="D85" s="133">
        <f>D67+D73+D83+D78</f>
        <v>10076079</v>
      </c>
      <c r="E85" s="118">
        <f>B85-D85</f>
        <v>4053816</v>
      </c>
      <c r="F85" s="176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ht="12.75">
      <c r="A86" s="42"/>
      <c r="B86" s="42"/>
      <c r="C86" s="42"/>
      <c r="D86" s="42"/>
      <c r="E86" s="54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ht="12.75">
      <c r="A87" s="42"/>
      <c r="B87" s="43"/>
      <c r="C87" s="42"/>
      <c r="D87" s="42"/>
      <c r="E87" s="196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ht="12.75">
      <c r="A88" s="42"/>
      <c r="B88" s="43"/>
      <c r="C88" s="42"/>
      <c r="D88" s="42"/>
      <c r="E88" s="54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ht="12.75">
      <c r="A89" s="42"/>
      <c r="B89" s="43"/>
      <c r="C89" s="42"/>
      <c r="D89" s="42"/>
      <c r="E89" s="54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ht="12.75">
      <c r="A90" s="43" t="s">
        <v>133</v>
      </c>
      <c r="B90" s="43"/>
      <c r="C90" s="42"/>
      <c r="D90" s="42"/>
      <c r="E90" s="54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ht="14.25">
      <c r="A91" s="43" t="s">
        <v>130</v>
      </c>
      <c r="B91" s="43"/>
      <c r="C91" s="43"/>
      <c r="D91" s="167">
        <v>693898</v>
      </c>
      <c r="E91" s="43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ht="14.25" hidden="1">
      <c r="A92" s="43"/>
      <c r="B92" s="43"/>
      <c r="C92" s="43"/>
      <c r="D92" s="167"/>
      <c r="E92" s="43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ht="14.25">
      <c r="A93" s="43" t="s">
        <v>136</v>
      </c>
      <c r="B93" s="43"/>
      <c r="C93" s="43"/>
      <c r="D93" s="167">
        <v>500000</v>
      </c>
      <c r="E93" s="43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1:17" ht="14.25">
      <c r="A94" s="43" t="s">
        <v>131</v>
      </c>
      <c r="B94" s="43"/>
      <c r="C94" s="43"/>
      <c r="D94" s="167">
        <v>1975702</v>
      </c>
      <c r="E94" s="43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ht="14.25">
      <c r="A95" s="43" t="s">
        <v>15</v>
      </c>
      <c r="B95" s="43"/>
      <c r="C95" s="43"/>
      <c r="D95" s="206">
        <f>SUM(D91:D94)</f>
        <v>3169600</v>
      </c>
      <c r="E95" s="43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ht="14.25">
      <c r="A96" s="43"/>
      <c r="B96" s="43"/>
      <c r="C96" s="43"/>
      <c r="D96" s="167"/>
      <c r="E96" s="43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ht="14.25">
      <c r="A97" s="43"/>
      <c r="B97" s="43"/>
      <c r="C97" s="43"/>
      <c r="D97" s="167"/>
      <c r="E97" s="43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ht="14.25">
      <c r="A98" s="43"/>
      <c r="B98" s="43"/>
      <c r="C98" s="43"/>
      <c r="D98" s="167"/>
      <c r="E98" s="43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ht="12.75">
      <c r="A99" s="43"/>
      <c r="B99" s="43"/>
      <c r="C99" s="43"/>
      <c r="D99" s="43"/>
      <c r="E99" s="43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ht="12.75">
      <c r="A100" s="43"/>
      <c r="B100" s="43"/>
      <c r="C100" s="43"/>
      <c r="D100" s="43"/>
      <c r="E100" s="43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ht="12.75">
      <c r="A101" s="43"/>
      <c r="B101" s="43" t="s">
        <v>51</v>
      </c>
      <c r="C101" s="42"/>
      <c r="D101" s="42"/>
      <c r="E101" s="43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ht="12.75">
      <c r="A102" s="42"/>
      <c r="B102" s="43"/>
      <c r="C102" s="42"/>
      <c r="D102" s="42"/>
      <c r="E102" s="54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ht="12.75">
      <c r="A103" s="42"/>
      <c r="B103" s="43"/>
      <c r="C103" s="42"/>
      <c r="D103" s="42"/>
      <c r="E103" s="54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ht="12.75">
      <c r="A104" s="42"/>
      <c r="B104" s="43"/>
      <c r="C104" s="42"/>
      <c r="D104" s="42"/>
      <c r="E104" s="54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ht="14.25">
      <c r="A105" s="41"/>
      <c r="B105" s="41"/>
      <c r="C105" s="41"/>
      <c r="D105" s="41"/>
      <c r="E105" s="41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ht="14.25">
      <c r="A106" s="41"/>
      <c r="B106" s="41"/>
      <c r="C106" s="41"/>
      <c r="D106" s="41"/>
      <c r="E106" s="55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 ht="14.25">
      <c r="A107" s="41"/>
      <c r="B107" s="41"/>
      <c r="C107" s="41"/>
      <c r="D107" s="198"/>
      <c r="E107" s="41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8" ht="12.75">
      <c r="A108" s="226"/>
      <c r="B108" s="24"/>
      <c r="C108" s="226"/>
      <c r="D108" s="43"/>
      <c r="E108" s="226"/>
      <c r="F108" s="12"/>
      <c r="G108" s="12"/>
      <c r="H108" s="12"/>
    </row>
    <row r="109" spans="1:8" ht="12.75">
      <c r="A109" s="99"/>
      <c r="B109" s="99"/>
      <c r="C109" s="99"/>
      <c r="D109" s="99"/>
      <c r="E109" s="227"/>
      <c r="F109" s="12"/>
      <c r="G109" s="12"/>
      <c r="H109" s="12"/>
    </row>
    <row r="110" spans="1:8" ht="12.75">
      <c r="A110" s="202"/>
      <c r="B110" s="99"/>
      <c r="C110" s="202"/>
      <c r="D110" s="99"/>
      <c r="E110" s="202"/>
      <c r="F110" s="12"/>
      <c r="G110" s="12"/>
      <c r="H110" s="12"/>
    </row>
    <row r="111" spans="1:8" ht="12.75">
      <c r="A111" s="106"/>
      <c r="B111" s="228"/>
      <c r="C111" s="106"/>
      <c r="D111" s="229"/>
      <c r="E111" s="106"/>
      <c r="F111" s="12"/>
      <c r="G111" s="12"/>
      <c r="H111" s="12"/>
    </row>
    <row r="112" spans="1:8" ht="14.25">
      <c r="A112" s="230"/>
      <c r="B112" s="231"/>
      <c r="C112" s="106"/>
      <c r="D112" s="232"/>
      <c r="E112" s="232"/>
      <c r="F112" s="12"/>
      <c r="G112" s="12"/>
      <c r="H112" s="12"/>
    </row>
    <row r="113" spans="1:8" ht="14.25">
      <c r="A113" s="106"/>
      <c r="B113" s="231"/>
      <c r="C113" s="106"/>
      <c r="D113" s="232"/>
      <c r="E113" s="232"/>
      <c r="F113" s="12"/>
      <c r="G113" s="12"/>
      <c r="H113" s="12"/>
    </row>
    <row r="114" spans="1:8" ht="14.25">
      <c r="A114" s="106"/>
      <c r="B114" s="233"/>
      <c r="C114" s="115"/>
      <c r="D114" s="192"/>
      <c r="E114" s="234"/>
      <c r="F114" s="12"/>
      <c r="G114" s="12"/>
      <c r="H114" s="12"/>
    </row>
    <row r="115" spans="1:8" ht="14.25">
      <c r="A115" s="106"/>
      <c r="B115" s="233"/>
      <c r="C115" s="115"/>
      <c r="D115" s="199"/>
      <c r="E115" s="234"/>
      <c r="F115" s="12"/>
      <c r="G115" s="12"/>
      <c r="H115" s="12"/>
    </row>
    <row r="116" spans="1:8" ht="14.25">
      <c r="A116" s="106"/>
      <c r="B116" s="233"/>
      <c r="C116" s="115"/>
      <c r="D116" s="199"/>
      <c r="E116" s="199"/>
      <c r="F116" s="12"/>
      <c r="G116" s="12"/>
      <c r="H116" s="12"/>
    </row>
    <row r="117" spans="1:8" ht="14.25">
      <c r="A117" s="106"/>
      <c r="B117" s="233"/>
      <c r="C117" s="115"/>
      <c r="D117" s="199"/>
      <c r="E117" s="199"/>
      <c r="F117" s="12"/>
      <c r="G117" s="12"/>
      <c r="H117" s="12"/>
    </row>
    <row r="118" spans="1:8" ht="14.25">
      <c r="A118" s="106"/>
      <c r="B118" s="233"/>
      <c r="C118" s="115"/>
      <c r="D118" s="199"/>
      <c r="E118" s="234"/>
      <c r="F118" s="12"/>
      <c r="G118" s="12"/>
      <c r="H118" s="12"/>
    </row>
    <row r="119" spans="1:8" ht="14.25" hidden="1">
      <c r="A119" s="106"/>
      <c r="B119" s="233"/>
      <c r="C119" s="115"/>
      <c r="D119" s="199"/>
      <c r="E119" s="199"/>
      <c r="F119" s="12"/>
      <c r="G119" s="12"/>
      <c r="H119" s="12"/>
    </row>
    <row r="120" spans="1:8" ht="14.25" hidden="1">
      <c r="A120" s="106"/>
      <c r="B120" s="233"/>
      <c r="C120" s="115"/>
      <c r="D120" s="199"/>
      <c r="E120" s="199"/>
      <c r="F120" s="12"/>
      <c r="G120" s="12"/>
      <c r="H120" s="12"/>
    </row>
    <row r="121" spans="1:8" ht="14.25">
      <c r="A121" s="106"/>
      <c r="B121" s="233"/>
      <c r="C121" s="115"/>
      <c r="D121" s="199"/>
      <c r="E121" s="199"/>
      <c r="F121" s="12"/>
      <c r="G121" s="12"/>
      <c r="H121" s="12"/>
    </row>
    <row r="122" spans="1:8" ht="14.25" hidden="1">
      <c r="A122" s="106"/>
      <c r="B122" s="233"/>
      <c r="C122" s="194"/>
      <c r="D122" s="199"/>
      <c r="E122" s="199"/>
      <c r="F122" s="12"/>
      <c r="G122" s="12"/>
      <c r="H122" s="12"/>
    </row>
    <row r="123" spans="1:8" ht="14.25">
      <c r="A123" s="106"/>
      <c r="B123" s="233"/>
      <c r="C123" s="115"/>
      <c r="D123" s="199"/>
      <c r="E123" s="199"/>
      <c r="F123" s="12"/>
      <c r="G123" s="12"/>
      <c r="H123" s="12"/>
    </row>
    <row r="124" spans="1:8" ht="14.25">
      <c r="A124" s="106"/>
      <c r="B124" s="233"/>
      <c r="C124" s="115"/>
      <c r="D124" s="192"/>
      <c r="E124" s="199"/>
      <c r="F124" s="12"/>
      <c r="G124" s="12"/>
      <c r="H124" s="12"/>
    </row>
    <row r="125" spans="1:8" ht="14.25">
      <c r="A125" s="106"/>
      <c r="B125" s="233"/>
      <c r="C125" s="134"/>
      <c r="D125" s="235"/>
      <c r="E125" s="199"/>
      <c r="F125" s="12"/>
      <c r="G125" s="12"/>
      <c r="H125" s="12"/>
    </row>
    <row r="126" spans="1:8" ht="14.25">
      <c r="A126" s="106"/>
      <c r="B126" s="233"/>
      <c r="C126" s="134"/>
      <c r="D126" s="235"/>
      <c r="E126" s="199"/>
      <c r="F126" s="12"/>
      <c r="G126" s="12"/>
      <c r="H126" s="12"/>
    </row>
    <row r="127" spans="1:8" ht="14.25">
      <c r="A127" s="106"/>
      <c r="B127" s="233"/>
      <c r="C127" s="134"/>
      <c r="D127" s="235"/>
      <c r="E127" s="199"/>
      <c r="F127" s="12"/>
      <c r="G127" s="12"/>
      <c r="H127" s="12"/>
    </row>
    <row r="128" spans="1:8" ht="14.25">
      <c r="A128" s="106"/>
      <c r="B128" s="233"/>
      <c r="C128" s="134"/>
      <c r="D128" s="235"/>
      <c r="E128" s="199"/>
      <c r="F128" s="12"/>
      <c r="G128" s="12"/>
      <c r="H128" s="12"/>
    </row>
    <row r="129" spans="1:8" ht="14.25">
      <c r="A129" s="106"/>
      <c r="B129" s="233"/>
      <c r="C129" s="115"/>
      <c r="D129" s="199"/>
      <c r="E129" s="199"/>
      <c r="F129" s="12"/>
      <c r="G129" s="12"/>
      <c r="H129" s="12"/>
    </row>
    <row r="130" spans="1:8" ht="14.25">
      <c r="A130" s="106"/>
      <c r="B130" s="233"/>
      <c r="C130" s="115"/>
      <c r="D130" s="192"/>
      <c r="E130" s="199"/>
      <c r="F130" s="12"/>
      <c r="G130" s="12"/>
      <c r="H130" s="12"/>
    </row>
    <row r="131" spans="1:8" ht="14.25">
      <c r="A131" s="53"/>
      <c r="B131" s="192"/>
      <c r="C131" s="207"/>
      <c r="D131" s="192"/>
      <c r="E131" s="192"/>
      <c r="F131" s="236"/>
      <c r="G131" s="12"/>
      <c r="H131" s="12"/>
    </row>
    <row r="132" spans="1:8" ht="14.25">
      <c r="A132" s="230"/>
      <c r="B132" s="233"/>
      <c r="C132" s="115"/>
      <c r="D132" s="199"/>
      <c r="E132" s="199"/>
      <c r="F132" s="12"/>
      <c r="G132" s="12"/>
      <c r="H132" s="12"/>
    </row>
    <row r="133" spans="1:8" ht="14.25">
      <c r="A133" s="106"/>
      <c r="B133" s="233"/>
      <c r="C133" s="115"/>
      <c r="D133" s="199"/>
      <c r="E133" s="199"/>
      <c r="F133" s="12"/>
      <c r="G133" s="12"/>
      <c r="H133" s="12"/>
    </row>
    <row r="134" spans="1:8" ht="14.25">
      <c r="A134" s="106"/>
      <c r="B134" s="233"/>
      <c r="C134" s="115"/>
      <c r="D134" s="192"/>
      <c r="E134" s="199"/>
      <c r="F134" s="12"/>
      <c r="G134" s="12"/>
      <c r="H134" s="12"/>
    </row>
    <row r="135" spans="1:8" ht="14.25">
      <c r="A135" s="106"/>
      <c r="B135" s="233"/>
      <c r="C135" s="115"/>
      <c r="D135" s="199"/>
      <c r="E135" s="199"/>
      <c r="F135" s="12"/>
      <c r="G135" s="12"/>
      <c r="H135" s="12"/>
    </row>
    <row r="136" spans="1:8" ht="14.25">
      <c r="A136" s="106"/>
      <c r="B136" s="233"/>
      <c r="C136" s="115"/>
      <c r="D136" s="199"/>
      <c r="E136" s="199"/>
      <c r="F136" s="12"/>
      <c r="G136" s="12"/>
      <c r="H136" s="12"/>
    </row>
    <row r="137" spans="1:8" ht="14.25">
      <c r="A137" s="106"/>
      <c r="B137" s="233"/>
      <c r="C137" s="115"/>
      <c r="D137" s="199"/>
      <c r="E137" s="199"/>
      <c r="F137" s="12"/>
      <c r="G137" s="12"/>
      <c r="H137" s="12"/>
    </row>
    <row r="138" spans="1:8" ht="14.25">
      <c r="A138" s="106"/>
      <c r="B138" s="233"/>
      <c r="C138" s="115"/>
      <c r="D138" s="199"/>
      <c r="E138" s="237"/>
      <c r="F138" s="236"/>
      <c r="G138" s="12"/>
      <c r="H138" s="12"/>
    </row>
    <row r="139" spans="1:8" ht="14.25">
      <c r="A139" s="106"/>
      <c r="B139" s="233"/>
      <c r="C139" s="115"/>
      <c r="D139" s="199"/>
      <c r="E139" s="199"/>
      <c r="F139" s="12"/>
      <c r="G139" s="12"/>
      <c r="H139" s="12"/>
    </row>
    <row r="140" spans="1:8" ht="14.25">
      <c r="A140" s="106"/>
      <c r="B140" s="233"/>
      <c r="C140" s="115"/>
      <c r="D140" s="199"/>
      <c r="E140" s="199"/>
      <c r="F140" s="12"/>
      <c r="G140" s="12"/>
      <c r="H140" s="12"/>
    </row>
    <row r="141" spans="1:8" ht="14.25">
      <c r="A141" s="106"/>
      <c r="B141" s="233"/>
      <c r="C141" s="115"/>
      <c r="D141" s="199"/>
      <c r="E141" s="199"/>
      <c r="F141" s="12"/>
      <c r="G141" s="12"/>
      <c r="H141" s="12"/>
    </row>
    <row r="142" spans="1:8" ht="14.25">
      <c r="A142" s="106"/>
      <c r="B142" s="233"/>
      <c r="C142" s="115"/>
      <c r="D142" s="199"/>
      <c r="E142" s="199"/>
      <c r="F142" s="12"/>
      <c r="G142" s="12"/>
      <c r="H142" s="12"/>
    </row>
    <row r="143" spans="1:8" ht="14.25">
      <c r="A143" s="106"/>
      <c r="B143" s="233"/>
      <c r="C143" s="115"/>
      <c r="D143" s="199"/>
      <c r="E143" s="199"/>
      <c r="F143" s="12"/>
      <c r="G143" s="12"/>
      <c r="H143" s="12"/>
    </row>
    <row r="144" spans="1:8" ht="14.25">
      <c r="A144" s="106"/>
      <c r="B144" s="233"/>
      <c r="C144" s="115"/>
      <c r="D144" s="199"/>
      <c r="E144" s="199"/>
      <c r="F144" s="12"/>
      <c r="G144" s="12"/>
      <c r="H144" s="12"/>
    </row>
    <row r="145" spans="1:8" ht="14.25">
      <c r="A145" s="106"/>
      <c r="B145" s="233"/>
      <c r="C145" s="115"/>
      <c r="D145" s="192"/>
      <c r="E145" s="199"/>
      <c r="F145" s="12"/>
      <c r="G145" s="12"/>
      <c r="H145" s="12"/>
    </row>
    <row r="146" spans="1:8" ht="14.25">
      <c r="A146" s="106"/>
      <c r="B146" s="233"/>
      <c r="C146" s="115"/>
      <c r="D146" s="199"/>
      <c r="E146" s="199"/>
      <c r="F146" s="12"/>
      <c r="G146" s="12"/>
      <c r="H146" s="12"/>
    </row>
    <row r="147" spans="1:8" ht="14.25">
      <c r="A147" s="106"/>
      <c r="B147" s="233"/>
      <c r="C147" s="115"/>
      <c r="D147" s="199"/>
      <c r="E147" s="199"/>
      <c r="F147" s="12"/>
      <c r="G147" s="12"/>
      <c r="H147" s="12"/>
    </row>
    <row r="148" spans="1:8" ht="14.25">
      <c r="A148" s="106"/>
      <c r="B148" s="233"/>
      <c r="C148" s="115"/>
      <c r="D148" s="199"/>
      <c r="E148" s="199"/>
      <c r="F148" s="12"/>
      <c r="G148" s="12"/>
      <c r="H148" s="12"/>
    </row>
    <row r="149" spans="1:8" ht="14.25">
      <c r="A149" s="106"/>
      <c r="B149" s="233"/>
      <c r="C149" s="115"/>
      <c r="D149" s="199"/>
      <c r="E149" s="199"/>
      <c r="F149" s="12"/>
      <c r="G149" s="12"/>
      <c r="H149" s="12"/>
    </row>
    <row r="150" spans="1:8" ht="14.25" hidden="1">
      <c r="A150" s="106"/>
      <c r="B150" s="233"/>
      <c r="C150" s="115"/>
      <c r="D150" s="199"/>
      <c r="E150" s="199"/>
      <c r="F150" s="12"/>
      <c r="G150" s="12"/>
      <c r="H150" s="12"/>
    </row>
    <row r="151" spans="1:8" ht="14.25" hidden="1">
      <c r="A151" s="106"/>
      <c r="B151" s="233"/>
      <c r="C151" s="115"/>
      <c r="D151" s="199"/>
      <c r="E151" s="199"/>
      <c r="F151" s="12"/>
      <c r="G151" s="12"/>
      <c r="H151" s="12"/>
    </row>
    <row r="152" spans="1:8" ht="14.25" hidden="1">
      <c r="A152" s="106"/>
      <c r="B152" s="233"/>
      <c r="C152" s="115"/>
      <c r="D152" s="199"/>
      <c r="E152" s="199"/>
      <c r="F152" s="12"/>
      <c r="G152" s="12"/>
      <c r="H152" s="12"/>
    </row>
    <row r="153" spans="1:8" ht="14.25" hidden="1">
      <c r="A153" s="106"/>
      <c r="B153" s="233"/>
      <c r="C153" s="115"/>
      <c r="D153" s="199"/>
      <c r="E153" s="199"/>
      <c r="F153" s="12"/>
      <c r="G153" s="12"/>
      <c r="H153" s="12"/>
    </row>
    <row r="154" spans="1:8" ht="14.25" hidden="1">
      <c r="A154" s="106"/>
      <c r="B154" s="233"/>
      <c r="C154" s="115"/>
      <c r="D154" s="199"/>
      <c r="E154" s="199"/>
      <c r="F154" s="12"/>
      <c r="G154" s="12"/>
      <c r="H154" s="12"/>
    </row>
    <row r="155" spans="1:8" ht="14.25" hidden="1">
      <c r="A155" s="106"/>
      <c r="B155" s="233"/>
      <c r="C155" s="115"/>
      <c r="D155" s="199"/>
      <c r="E155" s="199"/>
      <c r="F155" s="12"/>
      <c r="G155" s="12"/>
      <c r="H155" s="12"/>
    </row>
    <row r="156" spans="1:8" ht="14.25">
      <c r="A156" s="106"/>
      <c r="B156" s="233"/>
      <c r="C156" s="115"/>
      <c r="D156" s="192"/>
      <c r="E156" s="199"/>
      <c r="F156" s="12"/>
      <c r="G156" s="12"/>
      <c r="H156" s="12"/>
    </row>
    <row r="157" spans="1:8" ht="14.25">
      <c r="A157" s="53"/>
      <c r="B157" s="192"/>
      <c r="C157" s="207"/>
      <c r="D157" s="192"/>
      <c r="E157" s="192"/>
      <c r="F157" s="236"/>
      <c r="G157" s="12"/>
      <c r="H157" s="12"/>
    </row>
    <row r="158" spans="1:8" ht="14.25">
      <c r="A158" s="230"/>
      <c r="B158" s="238"/>
      <c r="C158" s="205"/>
      <c r="D158" s="199"/>
      <c r="E158" s="199"/>
      <c r="F158" s="12"/>
      <c r="G158" s="12"/>
      <c r="H158" s="12"/>
    </row>
    <row r="159" spans="1:8" ht="14.25">
      <c r="A159" s="226"/>
      <c r="B159" s="238"/>
      <c r="C159" s="205"/>
      <c r="D159" s="199"/>
      <c r="E159" s="199"/>
      <c r="F159" s="12"/>
      <c r="G159" s="12"/>
      <c r="H159" s="12"/>
    </row>
    <row r="160" spans="1:8" ht="14.25">
      <c r="A160" s="106"/>
      <c r="B160" s="233"/>
      <c r="C160" s="115"/>
      <c r="D160" s="192"/>
      <c r="E160" s="199"/>
      <c r="F160" s="12"/>
      <c r="G160" s="12"/>
      <c r="H160" s="12"/>
    </row>
    <row r="161" spans="1:8" ht="14.25">
      <c r="A161" s="106"/>
      <c r="B161" s="233"/>
      <c r="C161" s="115"/>
      <c r="D161" s="199"/>
      <c r="E161" s="199"/>
      <c r="F161" s="12"/>
      <c r="G161" s="12"/>
      <c r="H161" s="12"/>
    </row>
    <row r="162" spans="1:8" ht="14.25">
      <c r="A162" s="106"/>
      <c r="B162" s="233"/>
      <c r="C162" s="115"/>
      <c r="D162" s="199"/>
      <c r="E162" s="199"/>
      <c r="F162" s="12"/>
      <c r="G162" s="12"/>
      <c r="H162" s="12"/>
    </row>
    <row r="163" spans="1:8" ht="14.25">
      <c r="A163" s="106"/>
      <c r="B163" s="233"/>
      <c r="C163" s="115"/>
      <c r="D163" s="199"/>
      <c r="E163" s="199"/>
      <c r="F163" s="12"/>
      <c r="G163" s="12"/>
      <c r="H163" s="12"/>
    </row>
    <row r="164" spans="1:8" ht="14.25">
      <c r="A164" s="106"/>
      <c r="B164" s="233"/>
      <c r="C164" s="115"/>
      <c r="D164" s="199"/>
      <c r="E164" s="199"/>
      <c r="F164" s="12"/>
      <c r="G164" s="12"/>
      <c r="H164" s="12"/>
    </row>
    <row r="165" spans="1:8" ht="14.25">
      <c r="A165" s="106"/>
      <c r="B165" s="233"/>
      <c r="C165" s="115"/>
      <c r="D165" s="199"/>
      <c r="E165" s="199"/>
      <c r="F165" s="12"/>
      <c r="G165" s="12"/>
      <c r="H165" s="12"/>
    </row>
    <row r="166" spans="1:8" ht="14.25">
      <c r="A166" s="106"/>
      <c r="B166" s="233"/>
      <c r="C166" s="115"/>
      <c r="D166" s="199"/>
      <c r="E166" s="199"/>
      <c r="F166" s="12"/>
      <c r="G166" s="12"/>
      <c r="H166" s="12"/>
    </row>
    <row r="167" spans="1:8" ht="14.25">
      <c r="A167" s="106"/>
      <c r="B167" s="233"/>
      <c r="C167" s="115"/>
      <c r="D167" s="199"/>
      <c r="E167" s="199"/>
      <c r="F167" s="12"/>
      <c r="G167" s="12"/>
      <c r="H167" s="12"/>
    </row>
    <row r="168" spans="1:8" ht="14.25" hidden="1">
      <c r="A168" s="106"/>
      <c r="B168" s="233"/>
      <c r="C168" s="115"/>
      <c r="D168" s="199"/>
      <c r="E168" s="199"/>
      <c r="F168" s="12"/>
      <c r="G168" s="12"/>
      <c r="H168" s="12"/>
    </row>
    <row r="169" spans="1:8" ht="14.25">
      <c r="A169" s="106"/>
      <c r="B169" s="233"/>
      <c r="C169" s="115"/>
      <c r="D169" s="192"/>
      <c r="E169" s="199"/>
      <c r="F169" s="12"/>
      <c r="G169" s="12"/>
      <c r="H169" s="12"/>
    </row>
    <row r="170" spans="1:8" ht="14.25">
      <c r="A170" s="106"/>
      <c r="B170" s="233"/>
      <c r="C170" s="135"/>
      <c r="D170" s="199"/>
      <c r="E170" s="199"/>
      <c r="F170" s="12"/>
      <c r="G170" s="12"/>
      <c r="H170" s="12"/>
    </row>
    <row r="171" spans="1:8" ht="14.25" hidden="1">
      <c r="A171" s="106"/>
      <c r="B171" s="233"/>
      <c r="C171" s="135"/>
      <c r="D171" s="199"/>
      <c r="E171" s="199"/>
      <c r="F171" s="12"/>
      <c r="G171" s="12"/>
      <c r="H171" s="12"/>
    </row>
    <row r="172" spans="1:8" ht="14.25" hidden="1">
      <c r="A172" s="106"/>
      <c r="B172" s="233"/>
      <c r="C172" s="135"/>
      <c r="D172" s="199"/>
      <c r="E172" s="199"/>
      <c r="F172" s="12"/>
      <c r="G172" s="12"/>
      <c r="H172" s="12"/>
    </row>
    <row r="173" spans="1:8" ht="14.25" hidden="1">
      <c r="A173" s="106"/>
      <c r="B173" s="233"/>
      <c r="C173" s="135"/>
      <c r="D173" s="199"/>
      <c r="E173" s="199"/>
      <c r="F173" s="12"/>
      <c r="G173" s="12"/>
      <c r="H173" s="12"/>
    </row>
    <row r="174" spans="1:8" ht="14.25" hidden="1">
      <c r="A174" s="106"/>
      <c r="B174" s="233"/>
      <c r="C174" s="135"/>
      <c r="D174" s="199"/>
      <c r="E174" s="199"/>
      <c r="F174" s="12"/>
      <c r="G174" s="12"/>
      <c r="H174" s="12"/>
    </row>
    <row r="175" spans="1:8" ht="14.25" hidden="1">
      <c r="A175" s="106"/>
      <c r="B175" s="233"/>
      <c r="C175" s="135"/>
      <c r="D175" s="199"/>
      <c r="E175" s="199"/>
      <c r="F175" s="12"/>
      <c r="G175" s="12"/>
      <c r="H175" s="12"/>
    </row>
    <row r="176" spans="1:8" ht="14.25">
      <c r="A176" s="106"/>
      <c r="B176" s="233"/>
      <c r="C176" s="135"/>
      <c r="D176" s="199"/>
      <c r="E176" s="199"/>
      <c r="F176" s="12"/>
      <c r="G176" s="12"/>
      <c r="H176" s="12"/>
    </row>
    <row r="177" spans="1:8" ht="14.25">
      <c r="A177" s="53"/>
      <c r="B177" s="192"/>
      <c r="C177" s="200"/>
      <c r="D177" s="192"/>
      <c r="E177" s="192"/>
      <c r="F177" s="236"/>
      <c r="G177" s="12"/>
      <c r="H177" s="12"/>
    </row>
    <row r="178" spans="1:8" ht="14.25">
      <c r="A178" s="53"/>
      <c r="B178" s="192"/>
      <c r="C178" s="200"/>
      <c r="D178" s="192"/>
      <c r="E178" s="192"/>
      <c r="F178" s="236"/>
      <c r="G178" s="12"/>
      <c r="H178" s="12"/>
    </row>
    <row r="179" spans="1:8" ht="14.25">
      <c r="A179" s="53"/>
      <c r="B179" s="192"/>
      <c r="C179" s="135"/>
      <c r="D179" s="199"/>
      <c r="E179" s="192"/>
      <c r="F179" s="236"/>
      <c r="G179" s="12"/>
      <c r="H179" s="12"/>
    </row>
    <row r="180" spans="1:8" ht="14.25">
      <c r="A180" s="53"/>
      <c r="B180" s="192"/>
      <c r="C180" s="135"/>
      <c r="D180" s="199"/>
      <c r="E180" s="192"/>
      <c r="F180" s="236"/>
      <c r="G180" s="12"/>
      <c r="H180" s="12"/>
    </row>
    <row r="181" spans="1:8" ht="14.25">
      <c r="A181" s="53"/>
      <c r="B181" s="192"/>
      <c r="C181" s="135"/>
      <c r="D181" s="199"/>
      <c r="E181" s="192"/>
      <c r="F181" s="236"/>
      <c r="G181" s="12"/>
      <c r="H181" s="12"/>
    </row>
    <row r="182" spans="1:8" ht="14.25">
      <c r="A182" s="53"/>
      <c r="B182" s="192"/>
      <c r="C182" s="135"/>
      <c r="D182" s="192"/>
      <c r="E182" s="192"/>
      <c r="F182" s="236"/>
      <c r="G182" s="12"/>
      <c r="H182" s="12"/>
    </row>
    <row r="183" spans="1:8" ht="14.25">
      <c r="A183" s="53"/>
      <c r="B183" s="192"/>
      <c r="C183" s="135"/>
      <c r="D183" s="199"/>
      <c r="E183" s="192"/>
      <c r="F183" s="236"/>
      <c r="G183" s="12"/>
      <c r="H183" s="12"/>
    </row>
    <row r="184" spans="1:8" ht="14.25">
      <c r="A184" s="53"/>
      <c r="B184" s="192"/>
      <c r="C184" s="135"/>
      <c r="D184" s="199"/>
      <c r="E184" s="192"/>
      <c r="F184" s="236"/>
      <c r="G184" s="12"/>
      <c r="H184" s="12"/>
    </row>
    <row r="185" spans="1:8" ht="14.25">
      <c r="A185" s="53"/>
      <c r="B185" s="192"/>
      <c r="C185" s="135"/>
      <c r="D185" s="199"/>
      <c r="E185" s="192"/>
      <c r="F185" s="236"/>
      <c r="G185" s="12"/>
      <c r="H185" s="12"/>
    </row>
    <row r="186" spans="1:8" ht="14.25">
      <c r="A186" s="53"/>
      <c r="B186" s="192"/>
      <c r="C186" s="135"/>
      <c r="D186" s="192"/>
      <c r="E186" s="192"/>
      <c r="F186" s="236"/>
      <c r="G186" s="12"/>
      <c r="H186" s="12"/>
    </row>
    <row r="187" spans="1:8" ht="14.25">
      <c r="A187" s="53"/>
      <c r="B187" s="192"/>
      <c r="C187" s="135"/>
      <c r="D187" s="199"/>
      <c r="E187" s="192"/>
      <c r="F187" s="236"/>
      <c r="G187" s="12"/>
      <c r="H187" s="12"/>
    </row>
    <row r="188" spans="1:8" ht="14.25">
      <c r="A188" s="53"/>
      <c r="B188" s="192"/>
      <c r="C188" s="135"/>
      <c r="D188" s="199"/>
      <c r="E188" s="192"/>
      <c r="F188" s="236"/>
      <c r="G188" s="12"/>
      <c r="H188" s="12"/>
    </row>
    <row r="189" spans="1:8" ht="14.25">
      <c r="A189" s="53"/>
      <c r="B189" s="192"/>
      <c r="C189" s="135"/>
      <c r="D189" s="192"/>
      <c r="E189" s="192"/>
      <c r="F189" s="236"/>
      <c r="G189" s="12"/>
      <c r="H189" s="12"/>
    </row>
    <row r="190" spans="1:8" ht="14.25">
      <c r="A190" s="53"/>
      <c r="B190" s="192"/>
      <c r="C190" s="135"/>
      <c r="D190" s="192"/>
      <c r="E190" s="192"/>
      <c r="F190" s="236"/>
      <c r="G190" s="12"/>
      <c r="H190" s="12"/>
    </row>
    <row r="191" spans="1:8" ht="14.25">
      <c r="A191" s="53"/>
      <c r="B191" s="239"/>
      <c r="C191" s="240"/>
      <c r="D191" s="192"/>
      <c r="E191" s="192"/>
      <c r="F191" s="12"/>
      <c r="G191" s="12"/>
      <c r="H191" s="12"/>
    </row>
    <row r="192" spans="1:8" ht="14.25">
      <c r="A192" s="53"/>
      <c r="B192" s="212"/>
      <c r="C192" s="200"/>
      <c r="D192" s="192"/>
      <c r="E192" s="192"/>
      <c r="F192" s="236"/>
      <c r="G192" s="12"/>
      <c r="H192" s="12"/>
    </row>
    <row r="193" spans="1:8" ht="12.75">
      <c r="A193" s="42"/>
      <c r="B193" s="42"/>
      <c r="C193" s="42"/>
      <c r="D193" s="43"/>
      <c r="E193" s="39"/>
      <c r="F193" s="12"/>
      <c r="G193" s="12"/>
      <c r="H193" s="12"/>
    </row>
    <row r="194" spans="1:8" ht="12.75">
      <c r="A194" s="42"/>
      <c r="B194" s="42"/>
      <c r="C194" s="56"/>
      <c r="D194" s="43"/>
      <c r="E194" s="39"/>
      <c r="F194" s="12"/>
      <c r="G194" s="12"/>
      <c r="H194" s="12"/>
    </row>
    <row r="195" spans="1:8" ht="14.25">
      <c r="A195" s="42"/>
      <c r="B195" s="176"/>
      <c r="C195" s="43"/>
      <c r="D195" s="199"/>
      <c r="E195" s="39"/>
      <c r="F195" s="12"/>
      <c r="G195" s="12"/>
      <c r="H195" s="12"/>
    </row>
    <row r="196" spans="1:8" ht="14.25">
      <c r="A196" s="42"/>
      <c r="B196" s="42"/>
      <c r="C196" s="43"/>
      <c r="D196" s="199"/>
      <c r="E196" s="39"/>
      <c r="F196" s="12"/>
      <c r="G196" s="12"/>
      <c r="H196" s="12"/>
    </row>
    <row r="197" spans="1:8" ht="14.25">
      <c r="A197" s="42"/>
      <c r="B197" s="42"/>
      <c r="C197" s="43"/>
      <c r="D197" s="199"/>
      <c r="E197" s="45"/>
      <c r="F197" s="12"/>
      <c r="G197" s="12"/>
      <c r="H197" s="12"/>
    </row>
    <row r="198" spans="1:8" ht="14.25">
      <c r="A198" s="42"/>
      <c r="B198" s="42"/>
      <c r="C198" s="43"/>
      <c r="D198" s="199"/>
      <c r="E198" s="39"/>
      <c r="F198" s="12"/>
      <c r="G198" s="12"/>
      <c r="H198" s="12"/>
    </row>
    <row r="199" spans="1:8" ht="14.25">
      <c r="A199" s="42"/>
      <c r="B199" s="42"/>
      <c r="C199" s="56"/>
      <c r="D199" s="192"/>
      <c r="E199" s="39"/>
      <c r="F199" s="12"/>
      <c r="G199" s="12"/>
      <c r="H199" s="12"/>
    </row>
    <row r="200" spans="1:8" ht="12.75">
      <c r="A200" s="42"/>
      <c r="B200" s="42"/>
      <c r="C200" s="42"/>
      <c r="D200" s="200"/>
      <c r="E200" s="39"/>
      <c r="F200" s="12"/>
      <c r="G200" s="12"/>
      <c r="H200" s="12"/>
    </row>
    <row r="201" spans="1:8" ht="14.25">
      <c r="A201" s="42"/>
      <c r="B201" s="42"/>
      <c r="C201" s="56"/>
      <c r="D201" s="192"/>
      <c r="E201" s="192"/>
      <c r="F201" s="12"/>
      <c r="G201" s="12"/>
      <c r="H201" s="12"/>
    </row>
    <row r="202" spans="1:8" ht="14.25">
      <c r="A202" s="42"/>
      <c r="B202" s="42"/>
      <c r="C202" s="56"/>
      <c r="D202" s="192"/>
      <c r="E202" s="192"/>
      <c r="F202" s="12"/>
      <c r="G202" s="12"/>
      <c r="H202" s="12"/>
    </row>
    <row r="203" spans="1:8" ht="12.75">
      <c r="A203" s="42"/>
      <c r="B203" s="43"/>
      <c r="C203" s="42"/>
      <c r="D203" s="42"/>
      <c r="E203" s="54"/>
      <c r="F203" s="12"/>
      <c r="G203" s="12"/>
      <c r="H203" s="12"/>
    </row>
    <row r="204" spans="1:8" ht="12.75">
      <c r="A204" s="42"/>
      <c r="B204" s="43"/>
      <c r="C204" s="42"/>
      <c r="D204" s="42"/>
      <c r="E204" s="54"/>
      <c r="F204" s="12"/>
      <c r="G204" s="12"/>
      <c r="H204" s="12"/>
    </row>
    <row r="205" spans="1:8" ht="12.75">
      <c r="A205" s="42"/>
      <c r="B205" s="43"/>
      <c r="C205" s="42"/>
      <c r="D205" s="42"/>
      <c r="E205" s="54"/>
      <c r="F205" s="12"/>
      <c r="G205" s="12"/>
      <c r="H205" s="12"/>
    </row>
    <row r="206" spans="1:8" ht="12.75">
      <c r="A206" s="42"/>
      <c r="B206" s="43"/>
      <c r="C206" s="42"/>
      <c r="D206" s="176"/>
      <c r="E206" s="54"/>
      <c r="F206" s="12"/>
      <c r="G206" s="12"/>
      <c r="H206" s="12"/>
    </row>
    <row r="207" spans="1:8" ht="12.75">
      <c r="A207" s="42"/>
      <c r="B207" s="43"/>
      <c r="C207" s="42"/>
      <c r="D207" s="42"/>
      <c r="E207" s="54"/>
      <c r="F207" s="12"/>
      <c r="G207" s="12"/>
      <c r="H207" s="12"/>
    </row>
    <row r="208" spans="1:8" ht="12.75">
      <c r="A208" s="42"/>
      <c r="B208" s="43"/>
      <c r="C208" s="42"/>
      <c r="D208" s="42"/>
      <c r="E208" s="196"/>
      <c r="F208" s="12"/>
      <c r="G208" s="12"/>
      <c r="H208" s="12"/>
    </row>
    <row r="209" spans="1:8" ht="12.75">
      <c r="A209" s="42"/>
      <c r="B209" s="43"/>
      <c r="C209" s="42"/>
      <c r="D209" s="42"/>
      <c r="E209" s="196"/>
      <c r="F209" s="12"/>
      <c r="G209" s="12"/>
      <c r="H209" s="12"/>
    </row>
    <row r="210" spans="1:8" ht="12.75">
      <c r="A210" s="42"/>
      <c r="B210" s="43"/>
      <c r="C210" s="42"/>
      <c r="D210" s="42"/>
      <c r="E210" s="54"/>
      <c r="F210" s="12"/>
      <c r="G210" s="12"/>
      <c r="H210" s="12"/>
    </row>
    <row r="211" spans="1:8" ht="12.75">
      <c r="A211" s="42"/>
      <c r="B211" s="43"/>
      <c r="C211" s="42"/>
      <c r="D211" s="42"/>
      <c r="E211" s="54"/>
      <c r="F211" s="42"/>
      <c r="G211" s="12"/>
      <c r="H211" s="12"/>
    </row>
    <row r="212" spans="1:8" ht="12.75">
      <c r="A212" s="42"/>
      <c r="B212" s="43"/>
      <c r="C212" s="42"/>
      <c r="D212" s="42"/>
      <c r="E212" s="54"/>
      <c r="F212" s="42"/>
      <c r="G212" s="12"/>
      <c r="H212" s="12"/>
    </row>
    <row r="213" spans="1:8" ht="12.75">
      <c r="A213" s="42"/>
      <c r="B213" s="43"/>
      <c r="C213" s="42"/>
      <c r="D213" s="42"/>
      <c r="E213" s="54"/>
      <c r="F213" s="12"/>
      <c r="G213" s="12"/>
      <c r="H213" s="12"/>
    </row>
    <row r="214" spans="1:8" ht="12.75">
      <c r="A214" s="42"/>
      <c r="B214" s="43"/>
      <c r="C214" s="42"/>
      <c r="D214" s="42"/>
      <c r="E214" s="54"/>
      <c r="F214" s="12"/>
      <c r="G214" s="12"/>
      <c r="H214" s="12"/>
    </row>
    <row r="215" spans="1:8" ht="12.75">
      <c r="A215" s="42"/>
      <c r="B215" s="43"/>
      <c r="C215" s="42"/>
      <c r="D215" s="42"/>
      <c r="E215" s="54"/>
      <c r="F215" s="12"/>
      <c r="G215" s="12"/>
      <c r="H215" s="12"/>
    </row>
    <row r="216" spans="1:8" ht="12.75">
      <c r="A216" s="48"/>
      <c r="B216" s="43"/>
      <c r="C216" s="42"/>
      <c r="D216" s="42"/>
      <c r="E216" s="54"/>
      <c r="F216" s="12"/>
      <c r="G216" s="12"/>
      <c r="H216" s="12"/>
    </row>
    <row r="217" spans="1:8" ht="12.75">
      <c r="A217" s="48"/>
      <c r="B217" s="43"/>
      <c r="C217" s="42"/>
      <c r="D217" s="42"/>
      <c r="E217" s="54"/>
      <c r="F217" s="12"/>
      <c r="G217" s="12"/>
      <c r="H217" s="12"/>
    </row>
    <row r="218" spans="1:8" ht="12.75">
      <c r="A218" s="42"/>
      <c r="B218" s="43"/>
      <c r="C218" s="42"/>
      <c r="D218" s="42"/>
      <c r="E218" s="54"/>
      <c r="F218" s="12"/>
      <c r="G218" s="12"/>
      <c r="H218" s="12"/>
    </row>
    <row r="219" spans="1:8" ht="12.75">
      <c r="A219" s="42"/>
      <c r="B219" s="43"/>
      <c r="C219" s="42"/>
      <c r="D219" s="42"/>
      <c r="E219" s="54"/>
      <c r="F219" s="12"/>
      <c r="G219" s="12"/>
      <c r="H219" s="12"/>
    </row>
    <row r="220" spans="1:8" ht="12.75">
      <c r="A220" s="12"/>
      <c r="B220" s="12"/>
      <c r="C220" s="12"/>
      <c r="D220" s="12"/>
      <c r="E220" s="54"/>
      <c r="F220" s="236"/>
      <c r="G220" s="12"/>
      <c r="H220" s="12"/>
    </row>
    <row r="221" spans="1:8" ht="12.75">
      <c r="A221" s="12"/>
      <c r="B221" s="236"/>
      <c r="C221" s="12"/>
      <c r="D221" s="12"/>
      <c r="E221" s="54"/>
      <c r="F221" s="12"/>
      <c r="G221" s="12"/>
      <c r="H221" s="12"/>
    </row>
    <row r="222" spans="1:8" ht="12.75">
      <c r="A222" s="12"/>
      <c r="B222" s="12"/>
      <c r="C222" s="12"/>
      <c r="D222" s="12"/>
      <c r="E222" s="12"/>
      <c r="F222" s="12"/>
      <c r="G222" s="12"/>
      <c r="H222" s="12"/>
    </row>
    <row r="223" spans="1:8" ht="12.75">
      <c r="A223" s="12"/>
      <c r="B223" s="236"/>
      <c r="C223" s="12"/>
      <c r="D223" s="12"/>
      <c r="E223" s="12"/>
      <c r="F223" s="12"/>
      <c r="G223" s="12"/>
      <c r="H223" s="12"/>
    </row>
    <row r="224" spans="1:8" ht="12.75">
      <c r="A224" s="241"/>
      <c r="B224" s="70"/>
      <c r="C224" s="70"/>
      <c r="D224" s="70"/>
      <c r="E224" s="70"/>
      <c r="F224" s="70"/>
      <c r="G224" s="12"/>
      <c r="H224" s="12"/>
    </row>
    <row r="225" spans="1:8" ht="12.75">
      <c r="A225" s="241"/>
      <c r="B225" s="241"/>
      <c r="C225" s="241"/>
      <c r="D225" s="241"/>
      <c r="E225" s="241"/>
      <c r="F225" s="241"/>
      <c r="G225" s="12"/>
      <c r="H225" s="12"/>
    </row>
    <row r="226" spans="1:8" ht="12.75">
      <c r="A226" s="241"/>
      <c r="B226" s="70"/>
      <c r="C226" s="70"/>
      <c r="D226" s="70"/>
      <c r="E226" s="70"/>
      <c r="F226" s="70"/>
      <c r="G226" s="12"/>
      <c r="H226" s="12"/>
    </row>
    <row r="227" spans="1:8" ht="12.75">
      <c r="A227" s="241"/>
      <c r="B227" s="70"/>
      <c r="C227" s="70"/>
      <c r="D227" s="70"/>
      <c r="E227" s="70"/>
      <c r="F227" s="70"/>
      <c r="G227" s="12"/>
      <c r="H227" s="12"/>
    </row>
    <row r="228" spans="1:8" ht="12.75">
      <c r="A228" s="241"/>
      <c r="B228" s="70"/>
      <c r="C228" s="70"/>
      <c r="D228" s="70"/>
      <c r="E228" s="70"/>
      <c r="F228" s="70"/>
      <c r="G228" s="12"/>
      <c r="H228" s="12"/>
    </row>
    <row r="229" spans="1:8" ht="12.75">
      <c r="A229" s="241"/>
      <c r="B229" s="70"/>
      <c r="C229" s="70"/>
      <c r="D229" s="70"/>
      <c r="E229" s="70"/>
      <c r="F229" s="70"/>
      <c r="G229" s="12"/>
      <c r="H229" s="12"/>
    </row>
    <row r="230" spans="1:8" ht="12.75">
      <c r="A230" s="12"/>
      <c r="B230" s="12"/>
      <c r="C230" s="12"/>
      <c r="D230" s="12"/>
      <c r="E230" s="12"/>
      <c r="F230" s="12"/>
      <c r="G230" s="12"/>
      <c r="H230" s="12"/>
    </row>
    <row r="231" spans="1:8" ht="12.75">
      <c r="A231" s="12"/>
      <c r="B231" s="12"/>
      <c r="C231" s="12"/>
      <c r="D231" s="12"/>
      <c r="E231" s="71"/>
      <c r="F231" s="71"/>
      <c r="G231" s="12"/>
      <c r="H231" s="12"/>
    </row>
    <row r="232" spans="1:5" ht="14.25">
      <c r="A232" s="1"/>
      <c r="B232" s="1"/>
      <c r="C232" s="1"/>
      <c r="D232" s="1"/>
      <c r="E232" s="1"/>
    </row>
    <row r="233" spans="1:6" ht="14.25">
      <c r="A233" s="195"/>
      <c r="B233" s="1"/>
      <c r="C233" s="1"/>
      <c r="D233" s="2"/>
      <c r="E233" s="2"/>
      <c r="F233" s="2"/>
    </row>
    <row r="234" spans="1:6" ht="14.25">
      <c r="A234" s="1"/>
      <c r="B234" s="1"/>
      <c r="C234" s="1"/>
      <c r="D234" s="2"/>
      <c r="E234" s="2"/>
      <c r="F234" s="2"/>
    </row>
    <row r="235" spans="1:6" ht="14.25">
      <c r="A235" s="1"/>
      <c r="B235" s="1"/>
      <c r="C235" s="1"/>
      <c r="D235" s="2"/>
      <c r="E235" s="2"/>
      <c r="F235" s="2"/>
    </row>
    <row r="236" spans="1:6" ht="14.25">
      <c r="A236" s="195"/>
      <c r="B236" s="1"/>
      <c r="C236" s="1"/>
      <c r="D236" s="2"/>
      <c r="E236" s="2"/>
      <c r="F236" s="2"/>
    </row>
    <row r="237" spans="1:6" ht="14.25">
      <c r="A237" s="195"/>
      <c r="B237" s="1"/>
      <c r="C237" s="1"/>
      <c r="D237" s="2"/>
      <c r="E237" s="2"/>
      <c r="F237" s="2"/>
    </row>
    <row r="238" spans="1:6" ht="14.25">
      <c r="A238" s="1"/>
      <c r="B238" s="1"/>
      <c r="C238" s="1"/>
      <c r="D238" s="2"/>
      <c r="E238" s="2"/>
      <c r="F238" s="2"/>
    </row>
    <row r="239" spans="1:6" ht="14.25">
      <c r="A239" s="1"/>
      <c r="B239" s="1"/>
      <c r="C239" s="1"/>
      <c r="D239" s="2"/>
      <c r="E239" s="2"/>
      <c r="F239" s="2"/>
    </row>
    <row r="240" spans="1:6" ht="14.25">
      <c r="A240" s="1"/>
      <c r="B240" s="1"/>
      <c r="C240" s="1"/>
      <c r="D240" s="2"/>
      <c r="E240" s="2"/>
      <c r="F240" s="2"/>
    </row>
    <row r="241" spans="1:6" ht="14.25">
      <c r="A241" s="195"/>
      <c r="B241" s="1"/>
      <c r="C241" s="1"/>
      <c r="D241" s="2"/>
      <c r="E241" s="2"/>
      <c r="F241" s="2"/>
    </row>
    <row r="242" spans="1:6" ht="14.25">
      <c r="A242" s="1"/>
      <c r="B242" s="1"/>
      <c r="C242" s="1"/>
      <c r="D242" s="2"/>
      <c r="E242" s="2"/>
      <c r="F242" s="2"/>
    </row>
    <row r="243" spans="1:6" ht="14.25">
      <c r="A243" s="1"/>
      <c r="B243" s="1"/>
      <c r="C243" s="1"/>
      <c r="D243" s="1"/>
      <c r="E243" s="1"/>
      <c r="F243" s="19"/>
    </row>
    <row r="244" spans="1:5" ht="14.25">
      <c r="A244" s="1"/>
      <c r="B244" s="1"/>
      <c r="C244" s="1"/>
      <c r="D244" s="1"/>
      <c r="E244" s="1"/>
    </row>
    <row r="245" spans="1:5" ht="14.25">
      <c r="A245" s="1"/>
      <c r="B245" s="1"/>
      <c r="C245" s="1"/>
      <c r="D245" s="1"/>
      <c r="E245" s="1"/>
    </row>
    <row r="246" spans="1:5" ht="14.25">
      <c r="A246" s="1"/>
      <c r="B246" s="1"/>
      <c r="C246" s="1"/>
      <c r="D246" s="1"/>
      <c r="E246" s="1"/>
    </row>
    <row r="247" spans="1:5" ht="14.25">
      <c r="A247" s="1"/>
      <c r="B247" s="1"/>
      <c r="C247" s="1"/>
      <c r="D247" s="1"/>
      <c r="E247" s="1"/>
    </row>
    <row r="248" spans="1:5" ht="14.25">
      <c r="A248" s="1"/>
      <c r="B248" s="1"/>
      <c r="C248" s="1"/>
      <c r="D248" s="1"/>
      <c r="E248" s="1"/>
    </row>
    <row r="249" spans="1:5" ht="14.25">
      <c r="A249" s="1"/>
      <c r="B249" s="3"/>
      <c r="C249" s="1"/>
      <c r="D249" s="1"/>
      <c r="E249" s="1"/>
    </row>
    <row r="250" spans="1:5" ht="14.25">
      <c r="A250" s="1"/>
      <c r="B250" s="1"/>
      <c r="C250" s="1"/>
      <c r="D250" s="1"/>
      <c r="E250" s="1"/>
    </row>
    <row r="251" spans="1:5" ht="15">
      <c r="A251" s="1"/>
      <c r="B251" s="180"/>
      <c r="C251" s="180"/>
      <c r="D251" s="1"/>
      <c r="E251" s="1"/>
    </row>
    <row r="252" spans="1:5" ht="14.25">
      <c r="A252" s="1"/>
      <c r="B252" s="32"/>
      <c r="C252" s="1"/>
      <c r="D252" s="1"/>
      <c r="E252" s="1"/>
    </row>
    <row r="253" spans="1:5" ht="14.25">
      <c r="A253" s="1"/>
      <c r="B253" s="3"/>
      <c r="C253" s="1"/>
      <c r="D253" s="1"/>
      <c r="E253" s="1"/>
    </row>
    <row r="254" spans="1:5" ht="14.25">
      <c r="A254" s="1"/>
      <c r="B254" s="3"/>
      <c r="C254" s="3"/>
      <c r="D254" s="3"/>
      <c r="E254" s="1"/>
    </row>
    <row r="255" spans="1:5" ht="14.25">
      <c r="A255" s="1"/>
      <c r="B255" s="3"/>
      <c r="C255" s="181"/>
      <c r="D255" s="3"/>
      <c r="E255" s="1"/>
    </row>
    <row r="256" spans="1:5" ht="14.25">
      <c r="A256" s="1"/>
      <c r="B256" s="1"/>
      <c r="C256" s="1"/>
      <c r="D256" s="1"/>
      <c r="E256" s="1"/>
    </row>
    <row r="257" spans="1:5" ht="14.25">
      <c r="A257" s="1"/>
      <c r="B257" s="1"/>
      <c r="C257" s="1"/>
      <c r="D257" s="1"/>
      <c r="E257" s="1"/>
    </row>
    <row r="258" spans="1:5" ht="14.25">
      <c r="A258" s="1"/>
      <c r="B258" s="1"/>
      <c r="C258" s="1"/>
      <c r="D258" s="1"/>
      <c r="E258" s="1"/>
    </row>
    <row r="260" spans="2:5" ht="14.25">
      <c r="B260" s="1"/>
      <c r="C260" s="1"/>
      <c r="D260" s="1"/>
      <c r="E260" s="1"/>
    </row>
    <row r="265" spans="2:10" ht="12.75">
      <c r="B265" s="19">
        <f>SUM(B268:B272)</f>
        <v>1108319.5488</v>
      </c>
      <c r="D265" s="4" t="s">
        <v>107</v>
      </c>
      <c r="H265" t="s">
        <v>118</v>
      </c>
      <c r="I265" t="s">
        <v>119</v>
      </c>
      <c r="J265" t="s">
        <v>120</v>
      </c>
    </row>
    <row r="266" spans="9:10" ht="12.75">
      <c r="I266">
        <v>12</v>
      </c>
      <c r="J266">
        <v>8611.04</v>
      </c>
    </row>
    <row r="268" spans="1:8" ht="12.75">
      <c r="A268" t="s">
        <v>95</v>
      </c>
      <c r="B268" s="19">
        <f>1.06*25480*12</f>
        <v>324105.60000000003</v>
      </c>
      <c r="C268" s="19">
        <f>B268/12/8611.04</f>
        <v>3.1365317081328157</v>
      </c>
      <c r="F268" t="s">
        <v>109</v>
      </c>
      <c r="H268">
        <f>25480*1.06*12*1.2145*1.25*1.1</f>
        <v>541236.0954000001</v>
      </c>
    </row>
    <row r="269" spans="1:8" ht="12.75">
      <c r="A269" t="s">
        <v>96</v>
      </c>
      <c r="B269" s="19">
        <f>1.06*21457.1*12</f>
        <v>272934.312</v>
      </c>
      <c r="C269" s="19">
        <f>B269/12/8611.04</f>
        <v>2.6413216057526148</v>
      </c>
      <c r="D269" s="19"/>
      <c r="F269" t="s">
        <v>110</v>
      </c>
      <c r="H269">
        <f>6526.8*1.06*12*1.2145*1.25*1.1+21463.79*1.25*1.1+95692.68*1.25*1.1</f>
        <v>299729.853764</v>
      </c>
    </row>
    <row r="270" spans="1:11" ht="12.75">
      <c r="A270" t="s">
        <v>97</v>
      </c>
      <c r="B270" s="19">
        <f>1.06*22846.94*12</f>
        <v>290613.0768</v>
      </c>
      <c r="C270" s="19">
        <f>B270/12/8611.04</f>
        <v>2.8124078392389302</v>
      </c>
      <c r="E270" s="19">
        <f>C270*0.2</f>
        <v>0.562481567847786</v>
      </c>
      <c r="F270" s="19" t="s">
        <v>111</v>
      </c>
      <c r="H270">
        <f>21457.1*1.06*12*1.2145*1.25*1.1</f>
        <v>455783.2426455</v>
      </c>
      <c r="I270">
        <f>H270/12</f>
        <v>37981.936887125</v>
      </c>
      <c r="J270">
        <f>I270/J266</f>
        <v>4.410841999006507</v>
      </c>
      <c r="K270">
        <f>J270/1.18</f>
        <v>3.7380016940733114</v>
      </c>
    </row>
    <row r="271" spans="1:6" ht="12.75">
      <c r="A271" t="s">
        <v>98</v>
      </c>
      <c r="B271" s="19">
        <f>1.06*10819.2*12</f>
        <v>137620.22400000002</v>
      </c>
      <c r="C271" s="19"/>
      <c r="E271" s="19"/>
      <c r="F271" s="19" t="s">
        <v>112</v>
      </c>
    </row>
    <row r="272" spans="1:6" ht="12.75">
      <c r="A272" t="s">
        <v>99</v>
      </c>
      <c r="B272" s="19">
        <f>1.06*6528.8*12</f>
        <v>83046.33600000001</v>
      </c>
      <c r="C272" s="19"/>
      <c r="F272" s="19" t="s">
        <v>113</v>
      </c>
    </row>
    <row r="273" spans="2:6" ht="12.75">
      <c r="B273" s="19"/>
      <c r="C273" s="19"/>
      <c r="F273" s="19" t="s">
        <v>114</v>
      </c>
    </row>
    <row r="274" spans="2:6" ht="12.75">
      <c r="B274" s="19">
        <f>B271+B272+22095.08</f>
        <v>242761.64</v>
      </c>
      <c r="C274" s="19">
        <f>B274/12/8611.04</f>
        <v>2.349325594430715</v>
      </c>
      <c r="F274" s="19" t="s">
        <v>115</v>
      </c>
    </row>
    <row r="275" ht="12.75">
      <c r="F275" s="19" t="s">
        <v>116</v>
      </c>
    </row>
    <row r="276" spans="5:8" ht="12.75">
      <c r="E276">
        <f>3.14+3.14+2.14+1.31+2.38+5.29+1.09+0.26+1.41+0.56+1.88+0.52</f>
        <v>23.119999999999997</v>
      </c>
      <c r="F276" s="19" t="s">
        <v>117</v>
      </c>
      <c r="H276">
        <f>(31085.6+27048)*1.06*12*1.25*1.1</f>
        <v>1016756.6640000001</v>
      </c>
    </row>
    <row r="277" spans="4:6" ht="12.75">
      <c r="D277">
        <f>324105+324105+220762+135314+245931+381521+112632+26866+145699+57866+135609+37509</f>
        <v>2147919</v>
      </c>
      <c r="E277">
        <f>E276*12*8611.04</f>
        <v>2389046.9376</v>
      </c>
      <c r="F277" s="58"/>
    </row>
    <row r="278" ht="12.75">
      <c r="H278">
        <f>SUM(H268:H277)</f>
        <v>2313505.8558095004</v>
      </c>
    </row>
    <row r="280" spans="1:8" ht="12.75">
      <c r="A280" t="s">
        <v>96</v>
      </c>
      <c r="B280" t="s">
        <v>100</v>
      </c>
      <c r="H280">
        <f>2627157.05-H278</f>
        <v>313651.1941904994</v>
      </c>
    </row>
    <row r="281" ht="12.75">
      <c r="B281" t="s">
        <v>101</v>
      </c>
    </row>
    <row r="282" spans="1:5" ht="12.75">
      <c r="A282" s="16"/>
      <c r="B282" s="16" t="s">
        <v>102</v>
      </c>
      <c r="C282" s="16"/>
      <c r="D282" s="16"/>
      <c r="E282" s="16"/>
    </row>
    <row r="283" spans="1:5" ht="12.75">
      <c r="A283" s="16" t="s">
        <v>103</v>
      </c>
      <c r="B283" s="16" t="s">
        <v>104</v>
      </c>
      <c r="C283" s="16"/>
      <c r="D283" s="16"/>
      <c r="E283" s="16"/>
    </row>
    <row r="284" spans="1:5" ht="12.75">
      <c r="A284" s="16">
        <v>12</v>
      </c>
      <c r="B284" s="197" t="s">
        <v>105</v>
      </c>
      <c r="C284" s="16"/>
      <c r="D284" s="16"/>
      <c r="E284" s="16"/>
    </row>
    <row r="285" spans="1:5" ht="12.75">
      <c r="A285" s="16">
        <v>14</v>
      </c>
      <c r="B285" s="16">
        <v>0.2</v>
      </c>
      <c r="C285" s="16"/>
      <c r="D285" s="16"/>
      <c r="E285" s="16"/>
    </row>
    <row r="286" spans="1:5" ht="12.75">
      <c r="A286" s="16">
        <v>15</v>
      </c>
      <c r="B286" s="16">
        <v>0.1</v>
      </c>
      <c r="C286" s="16"/>
      <c r="D286" s="16"/>
      <c r="E286" s="16"/>
    </row>
    <row r="287" spans="1:11" ht="12.75">
      <c r="A287" s="16">
        <v>17</v>
      </c>
      <c r="B287" s="16">
        <v>0.5</v>
      </c>
      <c r="C287" s="16"/>
      <c r="D287" s="16"/>
      <c r="E287" s="16"/>
      <c r="H287">
        <v>8611.04</v>
      </c>
      <c r="J287" s="4" t="s">
        <v>122</v>
      </c>
      <c r="K287" s="4" t="s">
        <v>121</v>
      </c>
    </row>
    <row r="288" spans="1:13" ht="12.75">
      <c r="A288" s="16" t="s">
        <v>106</v>
      </c>
      <c r="B288" s="16"/>
      <c r="C288" s="16"/>
      <c r="D288" s="16"/>
      <c r="E288" s="16"/>
      <c r="G288">
        <v>1</v>
      </c>
      <c r="H288">
        <v>8611.04</v>
      </c>
      <c r="I288">
        <v>12</v>
      </c>
      <c r="J288" s="25">
        <f aca="true" t="shared" si="0" ref="J288:J297">K288*I288*H288</f>
        <v>458796.2112000001</v>
      </c>
      <c r="K288">
        <v>4.44</v>
      </c>
      <c r="L288" s="19">
        <f aca="true" t="shared" si="1" ref="L288:L297">K288*1.18</f>
        <v>5.2392</v>
      </c>
      <c r="M288">
        <f aca="true" t="shared" si="2" ref="M288:M297">J288*1.18</f>
        <v>541379.5292160001</v>
      </c>
    </row>
    <row r="289" spans="1:13" ht="12.75">
      <c r="A289" s="16"/>
      <c r="B289" s="16"/>
      <c r="C289" s="16"/>
      <c r="D289" s="16"/>
      <c r="E289" s="16"/>
      <c r="G289">
        <v>6</v>
      </c>
      <c r="H289">
        <v>8611.04</v>
      </c>
      <c r="I289">
        <v>12</v>
      </c>
      <c r="J289" s="25">
        <f t="shared" si="0"/>
        <v>254197.90080000003</v>
      </c>
      <c r="K289">
        <v>2.46</v>
      </c>
      <c r="L289" s="19">
        <f t="shared" si="1"/>
        <v>2.9027999999999996</v>
      </c>
      <c r="M289">
        <f t="shared" si="2"/>
        <v>299953.522944</v>
      </c>
    </row>
    <row r="290" spans="1:13" ht="12.75">
      <c r="A290" s="16"/>
      <c r="B290" s="16"/>
      <c r="C290" s="16"/>
      <c r="D290" s="16"/>
      <c r="E290" s="16"/>
      <c r="G290">
        <v>9</v>
      </c>
      <c r="H290">
        <v>8611.04</v>
      </c>
      <c r="I290">
        <v>12</v>
      </c>
      <c r="J290" s="25">
        <f t="shared" si="0"/>
        <v>382330.1760000001</v>
      </c>
      <c r="K290" s="19">
        <v>3.7</v>
      </c>
      <c r="L290" s="19">
        <f t="shared" si="1"/>
        <v>4.366</v>
      </c>
      <c r="M290">
        <f t="shared" si="2"/>
        <v>451149.6076800001</v>
      </c>
    </row>
    <row r="291" spans="1:13" ht="12.75">
      <c r="A291" s="16"/>
      <c r="B291" s="16"/>
      <c r="C291" s="16"/>
      <c r="D291" s="16"/>
      <c r="E291" s="16"/>
      <c r="G291">
        <v>10</v>
      </c>
      <c r="H291">
        <v>8611.04</v>
      </c>
      <c r="I291">
        <v>12</v>
      </c>
      <c r="J291" s="25">
        <f t="shared" si="0"/>
        <v>103332.48000000001</v>
      </c>
      <c r="K291" s="19">
        <v>1</v>
      </c>
      <c r="L291" s="19">
        <f t="shared" si="1"/>
        <v>1.18</v>
      </c>
      <c r="M291">
        <f t="shared" si="2"/>
        <v>121932.3264</v>
      </c>
    </row>
    <row r="292" spans="1:13" ht="12.75">
      <c r="A292" s="16"/>
      <c r="B292" s="16"/>
      <c r="C292" s="16"/>
      <c r="D292" s="16"/>
      <c r="E292" s="16"/>
      <c r="G292">
        <v>11</v>
      </c>
      <c r="H292">
        <v>8611.04</v>
      </c>
      <c r="I292">
        <v>12</v>
      </c>
      <c r="J292" s="25">
        <f t="shared" si="0"/>
        <v>103332.48000000001</v>
      </c>
      <c r="K292" s="19">
        <v>1</v>
      </c>
      <c r="L292" s="19">
        <f t="shared" si="1"/>
        <v>1.18</v>
      </c>
      <c r="M292">
        <f t="shared" si="2"/>
        <v>121932.3264</v>
      </c>
    </row>
    <row r="293" spans="1:13" ht="12.75">
      <c r="A293" s="16"/>
      <c r="B293" s="16"/>
      <c r="C293" s="16"/>
      <c r="D293" s="16"/>
      <c r="E293" s="16"/>
      <c r="G293">
        <v>12</v>
      </c>
      <c r="H293">
        <v>8611.04</v>
      </c>
      <c r="I293">
        <v>12</v>
      </c>
      <c r="J293" s="25">
        <f t="shared" si="0"/>
        <v>103332.48000000001</v>
      </c>
      <c r="K293" s="19">
        <v>1</v>
      </c>
      <c r="L293" s="19">
        <f t="shared" si="1"/>
        <v>1.18</v>
      </c>
      <c r="M293">
        <f t="shared" si="2"/>
        <v>121932.3264</v>
      </c>
    </row>
    <row r="294" spans="1:13" ht="12.75">
      <c r="A294" s="16"/>
      <c r="B294" s="16"/>
      <c r="C294" s="16"/>
      <c r="D294" s="16"/>
      <c r="E294" s="16"/>
      <c r="G294">
        <v>13</v>
      </c>
      <c r="H294">
        <v>8611.04</v>
      </c>
      <c r="I294">
        <v>12</v>
      </c>
      <c r="J294" s="25">
        <f t="shared" si="0"/>
        <v>103332.48000000001</v>
      </c>
      <c r="K294" s="19">
        <v>1</v>
      </c>
      <c r="L294" s="19">
        <f t="shared" si="1"/>
        <v>1.18</v>
      </c>
      <c r="M294">
        <f t="shared" si="2"/>
        <v>121932.3264</v>
      </c>
    </row>
    <row r="295" spans="1:13" ht="12.75">
      <c r="A295" s="16"/>
      <c r="B295" s="16"/>
      <c r="C295" s="16"/>
      <c r="D295" s="16"/>
      <c r="E295" s="16"/>
      <c r="G295">
        <v>15</v>
      </c>
      <c r="H295">
        <v>8611.04</v>
      </c>
      <c r="I295">
        <v>12</v>
      </c>
      <c r="J295" s="25">
        <f t="shared" si="0"/>
        <v>103332.48000000001</v>
      </c>
      <c r="K295" s="19">
        <v>1</v>
      </c>
      <c r="L295" s="19">
        <f t="shared" si="1"/>
        <v>1.18</v>
      </c>
      <c r="M295">
        <f t="shared" si="2"/>
        <v>121932.3264</v>
      </c>
    </row>
    <row r="296" spans="1:13" ht="12.75">
      <c r="A296" s="16"/>
      <c r="B296" s="16"/>
      <c r="C296" s="16"/>
      <c r="D296" s="16"/>
      <c r="E296" s="16"/>
      <c r="G296">
        <v>16</v>
      </c>
      <c r="H296">
        <v>8611.04</v>
      </c>
      <c r="I296">
        <v>12</v>
      </c>
      <c r="J296" s="25">
        <f t="shared" si="0"/>
        <v>153965.3952</v>
      </c>
      <c r="K296">
        <v>1.49</v>
      </c>
      <c r="L296" s="19">
        <f t="shared" si="1"/>
        <v>1.7582</v>
      </c>
      <c r="M296">
        <f t="shared" si="2"/>
        <v>181679.166336</v>
      </c>
    </row>
    <row r="297" spans="1:13" ht="12.75">
      <c r="A297" s="16"/>
      <c r="B297" s="16"/>
      <c r="C297" s="16"/>
      <c r="D297" s="16"/>
      <c r="E297" s="16"/>
      <c r="G297">
        <v>17</v>
      </c>
      <c r="H297">
        <v>8611.04</v>
      </c>
      <c r="I297">
        <v>12</v>
      </c>
      <c r="J297" s="25">
        <f t="shared" si="0"/>
        <v>860759.5584000002</v>
      </c>
      <c r="K297">
        <v>8.33</v>
      </c>
      <c r="L297" s="19">
        <f t="shared" si="1"/>
        <v>9.8294</v>
      </c>
      <c r="M297">
        <f t="shared" si="2"/>
        <v>1015696.2789120002</v>
      </c>
    </row>
    <row r="298" spans="1:13" ht="12.75">
      <c r="A298" s="16"/>
      <c r="B298" s="16"/>
      <c r="C298" s="16"/>
      <c r="D298" s="16"/>
      <c r="E298" s="16"/>
      <c r="J298" s="26">
        <f>SUM(J288:J297)</f>
        <v>2626711.6416</v>
      </c>
      <c r="K298" s="15">
        <f>SUM(K288:K297)</f>
        <v>25.42</v>
      </c>
      <c r="L298" s="27">
        <f>SUM(L288:L297)</f>
        <v>29.995599999999996</v>
      </c>
      <c r="M298" s="15">
        <f>SUM(M288:M297)</f>
        <v>3099519.737088</v>
      </c>
    </row>
    <row r="299" spans="1:5" ht="12.75">
      <c r="A299" s="16"/>
      <c r="B299" s="16"/>
      <c r="C299" s="16"/>
      <c r="D299" s="16"/>
      <c r="E299" s="16"/>
    </row>
    <row r="300" spans="1:11" ht="12.75">
      <c r="A300" s="16"/>
      <c r="B300" s="16"/>
      <c r="C300" s="16"/>
      <c r="D300" s="16"/>
      <c r="E300" s="16"/>
      <c r="K300">
        <f>25.42-K298</f>
        <v>0</v>
      </c>
    </row>
    <row r="301" spans="1:5" ht="12.75">
      <c r="A301" s="16"/>
      <c r="B301" s="16"/>
      <c r="C301" s="16"/>
      <c r="D301" s="16"/>
      <c r="E301" s="16"/>
    </row>
    <row r="302" spans="1:5" ht="12.75">
      <c r="A302" s="16"/>
      <c r="B302" s="16"/>
      <c r="C302" s="16"/>
      <c r="D302" s="16"/>
      <c r="E302" s="16"/>
    </row>
    <row r="303" spans="1:5" ht="12.75">
      <c r="A303" s="16"/>
      <c r="B303" s="16"/>
      <c r="C303" s="16"/>
      <c r="D303" s="16"/>
      <c r="E303" s="16"/>
    </row>
    <row r="304" spans="1:5" ht="12.75">
      <c r="A304" s="16"/>
      <c r="B304" s="16"/>
      <c r="C304" s="16"/>
      <c r="D304" s="16"/>
      <c r="E304" s="16"/>
    </row>
    <row r="305" spans="1:5" ht="12.75">
      <c r="A305" s="16"/>
      <c r="B305" s="16"/>
      <c r="C305" s="16"/>
      <c r="D305" s="16"/>
      <c r="E305" s="16"/>
    </row>
    <row r="306" spans="1:5" ht="12.75">
      <c r="A306" s="16"/>
      <c r="B306" s="16"/>
      <c r="C306" s="16"/>
      <c r="D306" s="16"/>
      <c r="E306" s="16"/>
    </row>
    <row r="307" spans="1:5" ht="12.75">
      <c r="A307" s="16"/>
      <c r="B307" s="16"/>
      <c r="C307" s="16"/>
      <c r="D307" s="16"/>
      <c r="E307" s="16"/>
    </row>
    <row r="308" spans="1:5" ht="12.75">
      <c r="A308" s="16"/>
      <c r="B308" s="16"/>
      <c r="C308" s="16"/>
      <c r="D308" s="16"/>
      <c r="E308" s="16"/>
    </row>
    <row r="309" spans="1:5" ht="12.75">
      <c r="A309" s="16"/>
      <c r="B309" s="16"/>
      <c r="C309" s="16"/>
      <c r="D309" s="16"/>
      <c r="E309" s="16"/>
    </row>
    <row r="310" spans="1:5" ht="12.75">
      <c r="A310" s="16"/>
      <c r="B310" s="16"/>
      <c r="C310" s="16"/>
      <c r="D310" s="16"/>
      <c r="E310" s="16"/>
    </row>
    <row r="311" spans="1:5" ht="12.75">
      <c r="A311" s="16"/>
      <c r="B311" s="16"/>
      <c r="C311" s="16"/>
      <c r="D311" s="16"/>
      <c r="E311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5" spans="1:5" ht="12.75">
      <c r="A345" s="16"/>
      <c r="B345" s="16"/>
      <c r="C345" s="16"/>
      <c r="D345" s="16"/>
      <c r="E345" s="16"/>
    </row>
    <row r="346" spans="1:5" ht="12.75">
      <c r="A346" s="16"/>
      <c r="B346" s="16"/>
      <c r="C346" s="16"/>
      <c r="D346" s="16"/>
      <c r="E346" s="16"/>
    </row>
    <row r="347" spans="1:5" ht="12.75">
      <c r="A347" s="16"/>
      <c r="B347" s="16"/>
      <c r="C347" s="16"/>
      <c r="D347" s="16"/>
      <c r="E347" s="16"/>
    </row>
    <row r="348" spans="1:5" ht="12.75">
      <c r="A348" s="16"/>
      <c r="B348" s="16"/>
      <c r="C348" s="16"/>
      <c r="D348" s="16"/>
      <c r="E348" s="16"/>
    </row>
    <row r="349" spans="1:5" ht="12.75">
      <c r="A349" s="16"/>
      <c r="B349" s="16"/>
      <c r="C349" s="16"/>
      <c r="D349" s="16"/>
      <c r="E349" s="16"/>
    </row>
    <row r="350" spans="1:5" ht="12.75">
      <c r="A350" s="16"/>
      <c r="B350" s="16"/>
      <c r="C350" s="16"/>
      <c r="D350" s="16"/>
      <c r="E350" s="16"/>
    </row>
    <row r="351" spans="1:5" ht="12.75">
      <c r="A351" s="16"/>
      <c r="B351" s="16"/>
      <c r="C351" s="16"/>
      <c r="D351" s="16"/>
      <c r="E351" s="16"/>
    </row>
    <row r="352" spans="1:5" ht="12.75">
      <c r="A352" s="16"/>
      <c r="B352" s="16"/>
      <c r="C352" s="16"/>
      <c r="D352" s="16"/>
      <c r="E352" s="16"/>
    </row>
    <row r="353" spans="1:5" ht="12.75">
      <c r="A353" s="16"/>
      <c r="B353" s="16"/>
      <c r="C353" s="16"/>
      <c r="D353" s="16"/>
      <c r="E353" s="16"/>
    </row>
    <row r="354" spans="1:5" ht="12.75">
      <c r="A354" s="16"/>
      <c r="B354" s="16"/>
      <c r="C354" s="16"/>
      <c r="D354" s="16"/>
      <c r="E354" s="16"/>
    </row>
    <row r="355" spans="1:5" ht="12.75">
      <c r="A355" s="16"/>
      <c r="B355" s="16"/>
      <c r="C355" s="16"/>
      <c r="D355" s="16"/>
      <c r="E355" s="16"/>
    </row>
    <row r="356" spans="1:5" ht="12.75">
      <c r="A356" s="16"/>
      <c r="B356" s="16"/>
      <c r="C356" s="16"/>
      <c r="D356" s="16"/>
      <c r="E356" s="16"/>
    </row>
    <row r="357" spans="1:5" ht="12.75">
      <c r="A357" s="16"/>
      <c r="B357" s="16"/>
      <c r="C357" s="16"/>
      <c r="D357" s="16"/>
      <c r="E357" s="16"/>
    </row>
    <row r="358" spans="1:5" ht="12.75">
      <c r="A358" s="16"/>
      <c r="B358" s="16"/>
      <c r="C358" s="16"/>
      <c r="D358" s="16"/>
      <c r="E358" s="16"/>
    </row>
    <row r="359" spans="1:5" ht="12.75">
      <c r="A359" s="16"/>
      <c r="B359" s="16"/>
      <c r="C359" s="16"/>
      <c r="D359" s="16"/>
      <c r="E359" s="16"/>
    </row>
    <row r="362" spans="2:4" ht="12.75">
      <c r="B362" s="16"/>
      <c r="C362" s="16"/>
      <c r="D362" s="16"/>
    </row>
    <row r="398" spans="3:4" ht="12.75">
      <c r="C398" s="57"/>
      <c r="D398" s="57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4" spans="3:5" ht="12.75">
      <c r="C414" s="4"/>
      <c r="D414" s="4"/>
      <c r="E414" s="28"/>
    </row>
    <row r="415" spans="3:4" ht="12.75">
      <c r="C415" s="4"/>
      <c r="D415" s="4"/>
    </row>
    <row r="416" spans="3:4" ht="12.75">
      <c r="C416" s="4"/>
      <c r="D416" s="4"/>
    </row>
    <row r="419" spans="3:4" ht="12.75">
      <c r="C419" s="58"/>
      <c r="D419" s="58"/>
    </row>
    <row r="420" spans="3:4" ht="12.75">
      <c r="C420" s="58"/>
      <c r="D420" s="58"/>
    </row>
    <row r="426" spans="3:4" ht="12.75">
      <c r="C426" s="57"/>
      <c r="D426" s="57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</sheetData>
  <sheetProtection/>
  <printOptions/>
  <pageMargins left="1.22" right="0.47" top="1" bottom="0.38" header="0.5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04"/>
  <sheetViews>
    <sheetView zoomScalePageLayoutView="0" workbookViewId="0" topLeftCell="A7">
      <selection activeCell="A26" sqref="A26:F30"/>
    </sheetView>
  </sheetViews>
  <sheetFormatPr defaultColWidth="9.140625" defaultRowHeight="12.75"/>
  <cols>
    <col min="1" max="1" width="23.8515625" style="0" customWidth="1"/>
    <col min="2" max="2" width="20.00390625" style="0" customWidth="1"/>
    <col min="3" max="3" width="29.421875" style="0" customWidth="1"/>
    <col min="4" max="6" width="13.57421875" style="0" customWidth="1"/>
    <col min="7" max="7" width="21.28125" style="0" customWidth="1"/>
    <col min="8" max="8" width="7.7109375" style="0" customWidth="1"/>
    <col min="9" max="9" width="18.28125" style="0" customWidth="1"/>
    <col min="10" max="10" width="10.28125" style="0" customWidth="1"/>
    <col min="11" max="11" width="16.140625" style="0" customWidth="1"/>
    <col min="12" max="12" width="13.8515625" style="0" customWidth="1"/>
    <col min="13" max="13" width="7.00390625" style="0" customWidth="1"/>
    <col min="14" max="15" width="10.28125" style="0" customWidth="1"/>
    <col min="16" max="16" width="17.7109375" style="0" customWidth="1"/>
    <col min="17" max="17" width="17.8515625" style="0" customWidth="1"/>
    <col min="18" max="18" width="7.421875" style="0" customWidth="1"/>
    <col min="19" max="19" width="12.421875" style="0" customWidth="1"/>
    <col min="23" max="23" width="10.57421875" style="0" bestFit="1" customWidth="1"/>
    <col min="25" max="25" width="11.00390625" style="0" bestFit="1" customWidth="1"/>
  </cols>
  <sheetData>
    <row r="1" spans="1:22" ht="14.25">
      <c r="A1" s="41"/>
      <c r="B1" s="41" t="s">
        <v>46</v>
      </c>
      <c r="C1" s="41"/>
      <c r="D1" s="41"/>
      <c r="E1" s="41"/>
      <c r="F1" s="41"/>
      <c r="G1" s="39"/>
      <c r="H1" s="24"/>
      <c r="I1" s="24"/>
      <c r="J1" s="24"/>
      <c r="K1" s="24"/>
      <c r="L1" s="24"/>
      <c r="M1" s="24"/>
      <c r="N1" s="42"/>
      <c r="O1" s="42"/>
      <c r="P1" s="50"/>
      <c r="Q1" s="50"/>
      <c r="R1" s="4"/>
      <c r="S1" s="4"/>
      <c r="T1" s="50"/>
      <c r="V1" s="50"/>
    </row>
    <row r="2" spans="1:22" ht="14.25">
      <c r="A2" s="41"/>
      <c r="B2" s="41"/>
      <c r="C2" s="41"/>
      <c r="D2" s="41"/>
      <c r="E2" s="41"/>
      <c r="F2" s="55"/>
      <c r="G2" s="43"/>
      <c r="H2" s="24"/>
      <c r="I2" s="24"/>
      <c r="J2" s="24"/>
      <c r="K2" s="24"/>
      <c r="L2" s="24"/>
      <c r="M2" s="24"/>
      <c r="N2" s="42"/>
      <c r="O2" s="42"/>
      <c r="P2" s="50"/>
      <c r="Q2" s="50"/>
      <c r="R2" s="4"/>
      <c r="S2" s="57"/>
      <c r="T2" s="50"/>
      <c r="V2" s="50"/>
    </row>
    <row r="3" spans="1:22" ht="14.25">
      <c r="A3" s="41"/>
      <c r="B3" s="41"/>
      <c r="C3" s="41"/>
      <c r="D3" s="49" t="s">
        <v>206</v>
      </c>
      <c r="E3" s="49"/>
      <c r="F3" s="41"/>
      <c r="G3" s="43"/>
      <c r="H3" s="43"/>
      <c r="I3" s="43"/>
      <c r="J3" s="43"/>
      <c r="K3" s="43"/>
      <c r="L3" s="91"/>
      <c r="M3" s="43"/>
      <c r="N3" s="42"/>
      <c r="O3" s="42"/>
      <c r="P3" s="50"/>
      <c r="Q3" s="50"/>
      <c r="R3" s="4"/>
      <c r="S3" s="4"/>
      <c r="T3" s="50"/>
      <c r="V3" s="50"/>
    </row>
    <row r="4" spans="1:18" ht="12.75">
      <c r="A4" s="93"/>
      <c r="B4" s="20" t="s">
        <v>227</v>
      </c>
      <c r="C4" s="95"/>
      <c r="D4" s="94"/>
      <c r="E4" s="20" t="s">
        <v>47</v>
      </c>
      <c r="F4" s="96"/>
      <c r="G4" s="287"/>
      <c r="H4" s="288"/>
      <c r="I4" s="289"/>
      <c r="J4" s="43"/>
      <c r="K4" s="51"/>
      <c r="L4" s="51"/>
      <c r="M4" s="51"/>
      <c r="N4" s="42"/>
      <c r="O4" s="42"/>
      <c r="P4" s="42"/>
      <c r="Q4" s="42"/>
      <c r="R4" s="42"/>
    </row>
    <row r="5" spans="1:18" ht="12.75">
      <c r="A5" s="97" t="s">
        <v>37</v>
      </c>
      <c r="B5" s="98" t="s">
        <v>224</v>
      </c>
      <c r="C5" s="99" t="s">
        <v>210</v>
      </c>
      <c r="D5" s="98" t="s">
        <v>41</v>
      </c>
      <c r="E5" s="98" t="s">
        <v>48</v>
      </c>
      <c r="F5" s="274" t="s">
        <v>210</v>
      </c>
      <c r="G5" s="290"/>
      <c r="H5" s="42"/>
      <c r="I5" s="291"/>
      <c r="J5" s="42"/>
      <c r="K5" s="42"/>
      <c r="L5" s="24"/>
      <c r="M5" s="24"/>
      <c r="N5" s="42"/>
      <c r="O5" s="42"/>
      <c r="P5" s="42"/>
      <c r="Q5" s="42"/>
      <c r="R5" s="42"/>
    </row>
    <row r="6" spans="1:18" ht="12.75">
      <c r="A6" s="201"/>
      <c r="B6" s="98"/>
      <c r="C6" s="202"/>
      <c r="D6" s="98" t="s">
        <v>42</v>
      </c>
      <c r="E6" s="98" t="s">
        <v>49</v>
      </c>
      <c r="F6" s="277" t="s">
        <v>211</v>
      </c>
      <c r="G6" s="290"/>
      <c r="H6" s="42"/>
      <c r="I6" s="291"/>
      <c r="J6" s="42"/>
      <c r="K6" s="42"/>
      <c r="L6" s="24"/>
      <c r="M6" s="24"/>
      <c r="N6" s="42"/>
      <c r="O6" s="42"/>
      <c r="P6" s="42"/>
      <c r="Q6" s="42"/>
      <c r="R6" s="42"/>
    </row>
    <row r="7" spans="1:18" ht="12.75">
      <c r="A7" s="101"/>
      <c r="B7" s="102"/>
      <c r="C7" s="103"/>
      <c r="D7" s="104"/>
      <c r="E7" s="102"/>
      <c r="F7" s="105"/>
      <c r="G7" s="297"/>
      <c r="H7" s="298"/>
      <c r="I7" s="299"/>
      <c r="J7" s="42"/>
      <c r="K7" s="42"/>
      <c r="L7" s="42"/>
      <c r="M7" s="42"/>
      <c r="N7" s="42"/>
      <c r="O7" s="42"/>
      <c r="P7" s="42"/>
      <c r="Q7" s="42"/>
      <c r="R7" s="42"/>
    </row>
    <row r="8" spans="1:18" ht="12.75">
      <c r="A8" s="109" t="s">
        <v>223</v>
      </c>
      <c r="B8" s="305"/>
      <c r="C8" s="106"/>
      <c r="D8" s="306"/>
      <c r="E8" s="305"/>
      <c r="F8" s="307"/>
      <c r="G8" s="290"/>
      <c r="H8" s="42"/>
      <c r="I8" s="291"/>
      <c r="J8" s="42"/>
      <c r="K8" s="42"/>
      <c r="L8" s="42"/>
      <c r="M8" s="42"/>
      <c r="N8" s="42"/>
      <c r="O8" s="42"/>
      <c r="P8" s="42"/>
      <c r="Q8" s="42"/>
      <c r="R8" s="42"/>
    </row>
    <row r="9" spans="1:18" ht="12.75">
      <c r="A9" s="109"/>
      <c r="B9" s="305"/>
      <c r="C9" s="106"/>
      <c r="D9" s="306"/>
      <c r="E9" s="305"/>
      <c r="F9" s="307"/>
      <c r="G9" s="290"/>
      <c r="H9" s="42"/>
      <c r="I9" s="291"/>
      <c r="J9" s="42"/>
      <c r="K9" s="42"/>
      <c r="L9" s="42"/>
      <c r="M9" s="42"/>
      <c r="N9" s="42"/>
      <c r="O9" s="42"/>
      <c r="P9" s="42"/>
      <c r="Q9" s="42"/>
      <c r="R9" s="42"/>
    </row>
    <row r="10" spans="1:18" ht="14.25">
      <c r="A10" s="107" t="s">
        <v>33</v>
      </c>
      <c r="B10" s="308" t="s">
        <v>225</v>
      </c>
      <c r="C10" s="108"/>
      <c r="D10" s="127"/>
      <c r="E10" s="111"/>
      <c r="F10" s="113"/>
      <c r="G10" s="292"/>
      <c r="H10" s="42"/>
      <c r="I10" s="293"/>
      <c r="J10" s="43"/>
      <c r="K10" s="43"/>
      <c r="L10" s="43"/>
      <c r="M10" s="43"/>
      <c r="N10" s="42"/>
      <c r="O10" s="42"/>
      <c r="P10" s="42"/>
      <c r="Q10" s="42"/>
      <c r="R10" s="42"/>
    </row>
    <row r="11" spans="1:18" ht="14.25">
      <c r="A11" s="109" t="s">
        <v>34</v>
      </c>
      <c r="B11" s="309" t="s">
        <v>226</v>
      </c>
      <c r="C11" s="115"/>
      <c r="D11" s="128"/>
      <c r="E11" s="114">
        <v>656930</v>
      </c>
      <c r="F11" s="116"/>
      <c r="G11" s="292"/>
      <c r="H11" s="52"/>
      <c r="I11" s="293"/>
      <c r="J11" s="43"/>
      <c r="K11" s="43"/>
      <c r="L11" s="52"/>
      <c r="M11" s="52"/>
      <c r="N11" s="42"/>
      <c r="O11" s="42"/>
      <c r="P11" s="42"/>
      <c r="Q11" s="42"/>
      <c r="R11" s="42"/>
    </row>
    <row r="12" spans="1:18" ht="14.25">
      <c r="A12" s="109" t="s">
        <v>35</v>
      </c>
      <c r="B12" s="115" t="s">
        <v>218</v>
      </c>
      <c r="C12" s="115" t="s">
        <v>230</v>
      </c>
      <c r="D12" s="128">
        <v>683356</v>
      </c>
      <c r="E12" s="114">
        <v>1357025</v>
      </c>
      <c r="F12" s="284">
        <v>1757418</v>
      </c>
      <c r="G12" s="294" t="s">
        <v>219</v>
      </c>
      <c r="H12" s="286"/>
      <c r="I12" s="291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14.25">
      <c r="A13" s="109"/>
      <c r="B13" s="194"/>
      <c r="C13" s="194" t="s">
        <v>231</v>
      </c>
      <c r="D13" s="128">
        <v>243449</v>
      </c>
      <c r="E13" s="114"/>
      <c r="F13" s="116"/>
      <c r="G13" s="294" t="s">
        <v>220</v>
      </c>
      <c r="H13" s="286"/>
      <c r="I13" s="291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14.25">
      <c r="A14" s="109"/>
      <c r="B14" s="115" t="s">
        <v>207</v>
      </c>
      <c r="C14" s="115" t="s">
        <v>229</v>
      </c>
      <c r="D14" s="128">
        <v>430220</v>
      </c>
      <c r="E14" s="114"/>
      <c r="F14" s="116"/>
      <c r="G14" s="294" t="s">
        <v>221</v>
      </c>
      <c r="H14" s="286"/>
      <c r="I14" s="291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14.25">
      <c r="A15" s="109"/>
      <c r="B15" s="194" t="s">
        <v>208</v>
      </c>
      <c r="C15" s="194" t="s">
        <v>228</v>
      </c>
      <c r="D15" s="128"/>
      <c r="E15" s="114"/>
      <c r="F15" s="116"/>
      <c r="G15" s="290" t="s">
        <v>222</v>
      </c>
      <c r="H15" s="42"/>
      <c r="I15" s="291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4.25">
      <c r="A16" s="109"/>
      <c r="B16" s="309"/>
      <c r="C16" s="115" t="s">
        <v>21</v>
      </c>
      <c r="D16" s="128">
        <f>SUM(D12:D15)</f>
        <v>1357025</v>
      </c>
      <c r="E16" s="114"/>
      <c r="F16" s="275"/>
      <c r="G16" s="290"/>
      <c r="H16" s="42"/>
      <c r="I16" s="291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14.25">
      <c r="A17" s="109" t="s">
        <v>36</v>
      </c>
      <c r="B17" s="309">
        <v>974211</v>
      </c>
      <c r="C17" s="115"/>
      <c r="D17" s="128"/>
      <c r="E17" s="114">
        <v>974211</v>
      </c>
      <c r="F17" s="116"/>
      <c r="G17" s="290"/>
      <c r="H17" s="42"/>
      <c r="I17" s="291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14.25">
      <c r="A18" s="117" t="s">
        <v>15</v>
      </c>
      <c r="B18" s="310" t="e">
        <f>B11+B12</f>
        <v>#VALUE!</v>
      </c>
      <c r="C18" s="117" t="s">
        <v>15</v>
      </c>
      <c r="D18" s="130">
        <f>D16</f>
        <v>1357025</v>
      </c>
      <c r="E18" s="130">
        <f>E11+E12</f>
        <v>2013955</v>
      </c>
      <c r="F18" s="284" t="e">
        <f>B12-F12</f>
        <v>#VALUE!</v>
      </c>
      <c r="G18" s="290"/>
      <c r="H18" s="42"/>
      <c r="I18" s="291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4.25">
      <c r="A19" s="107" t="s">
        <v>38</v>
      </c>
      <c r="B19" s="119"/>
      <c r="C19" s="120"/>
      <c r="D19" s="129"/>
      <c r="E19" s="119"/>
      <c r="F19" s="121"/>
      <c r="G19" s="300"/>
      <c r="H19" s="301"/>
      <c r="I19" s="30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4.25">
      <c r="A20" s="109" t="s">
        <v>34</v>
      </c>
      <c r="B20" s="280">
        <v>682906</v>
      </c>
      <c r="C20" s="115"/>
      <c r="D20" s="128"/>
      <c r="E20" s="280">
        <v>682906</v>
      </c>
      <c r="F20" s="116"/>
      <c r="G20" s="290"/>
      <c r="H20" s="42"/>
      <c r="I20" s="291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4.25">
      <c r="A21" s="109" t="s">
        <v>35</v>
      </c>
      <c r="B21" s="280">
        <v>1695314</v>
      </c>
      <c r="C21" s="115" t="s">
        <v>127</v>
      </c>
      <c r="D21" s="128">
        <v>1483450</v>
      </c>
      <c r="E21" s="280">
        <v>1695314</v>
      </c>
      <c r="F21" s="116">
        <f>B21-F25</f>
        <v>-1261857</v>
      </c>
      <c r="G21" s="290"/>
      <c r="H21" s="42"/>
      <c r="I21" s="291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4.25">
      <c r="A22" s="109"/>
      <c r="B22" s="114"/>
      <c r="C22" s="115" t="s">
        <v>209</v>
      </c>
      <c r="D22" s="128">
        <v>211864</v>
      </c>
      <c r="E22" s="114"/>
      <c r="F22" s="116"/>
      <c r="G22" s="290"/>
      <c r="H22" s="42"/>
      <c r="I22" s="291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4.25">
      <c r="A23" s="109" t="s">
        <v>36</v>
      </c>
      <c r="B23" s="114">
        <v>2384044</v>
      </c>
      <c r="C23" s="115"/>
      <c r="D23" s="128"/>
      <c r="E23" s="114">
        <v>2384044</v>
      </c>
      <c r="F23" s="275"/>
      <c r="G23" s="290">
        <f>2450000*0.3</f>
        <v>735000</v>
      </c>
      <c r="H23" s="42"/>
      <c r="I23" s="291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4.25">
      <c r="A24" s="109"/>
      <c r="B24" s="114"/>
      <c r="C24" s="115"/>
      <c r="D24" s="128"/>
      <c r="E24" s="114"/>
      <c r="F24" s="116"/>
      <c r="G24" s="290"/>
      <c r="H24" s="42"/>
      <c r="I24" s="291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4.25">
      <c r="A25" s="117" t="s">
        <v>15</v>
      </c>
      <c r="B25" s="130">
        <f>B20+B21</f>
        <v>2378220</v>
      </c>
      <c r="C25" s="117" t="s">
        <v>15</v>
      </c>
      <c r="D25" s="130">
        <f>D21+D22</f>
        <v>1695314</v>
      </c>
      <c r="E25" s="130">
        <f>E20+E21</f>
        <v>2378220</v>
      </c>
      <c r="F25" s="278">
        <v>2957171</v>
      </c>
      <c r="G25" s="297"/>
      <c r="H25" s="298"/>
      <c r="I25" s="299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4.25">
      <c r="A26" s="209" t="s">
        <v>134</v>
      </c>
      <c r="B26" s="119"/>
      <c r="C26" s="207"/>
      <c r="D26" s="128"/>
      <c r="E26" s="119"/>
      <c r="F26" s="193"/>
      <c r="G26" s="290"/>
      <c r="H26" s="42"/>
      <c r="I26" s="291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4.25">
      <c r="A27" s="210" t="s">
        <v>34</v>
      </c>
      <c r="B27" s="280">
        <v>60816</v>
      </c>
      <c r="C27" s="207"/>
      <c r="D27" s="128"/>
      <c r="E27" s="280">
        <v>60816</v>
      </c>
      <c r="F27" s="193"/>
      <c r="G27" s="290"/>
      <c r="H27" s="42"/>
      <c r="I27" s="291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4.25">
      <c r="A28" s="210" t="s">
        <v>35</v>
      </c>
      <c r="B28" s="280">
        <v>103600</v>
      </c>
      <c r="C28" s="115" t="s">
        <v>135</v>
      </c>
      <c r="D28" s="128">
        <v>605460</v>
      </c>
      <c r="E28" s="280">
        <v>103600</v>
      </c>
      <c r="F28" s="284">
        <v>605460</v>
      </c>
      <c r="G28" s="290" t="s">
        <v>217</v>
      </c>
      <c r="H28" s="42"/>
      <c r="I28" s="291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14.25">
      <c r="A29" s="210" t="s">
        <v>36</v>
      </c>
      <c r="B29" s="114">
        <v>17075</v>
      </c>
      <c r="C29" s="207"/>
      <c r="D29" s="128"/>
      <c r="E29" s="114">
        <v>17075</v>
      </c>
      <c r="F29" s="193"/>
      <c r="G29" s="290"/>
      <c r="H29" s="42"/>
      <c r="I29" s="291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4.25">
      <c r="A30" s="211" t="s">
        <v>15</v>
      </c>
      <c r="B30" s="130">
        <f>SUM(B27:B28)</f>
        <v>164416</v>
      </c>
      <c r="C30" s="117" t="s">
        <v>15</v>
      </c>
      <c r="D30" s="130">
        <f>D28</f>
        <v>605460</v>
      </c>
      <c r="E30" s="130">
        <f>SUM(E27:E28)</f>
        <v>164416</v>
      </c>
      <c r="F30" s="284">
        <f>B28-F28</f>
        <v>-501860</v>
      </c>
      <c r="G30" s="290"/>
      <c r="H30" s="42"/>
      <c r="I30" s="291"/>
      <c r="J30" s="42"/>
      <c r="K30" s="42"/>
      <c r="L30" s="42"/>
      <c r="M30" s="42"/>
      <c r="N30" s="42"/>
      <c r="O30" s="42"/>
      <c r="P30" s="42"/>
      <c r="Q30" s="42"/>
      <c r="R30" s="42"/>
    </row>
    <row r="31" spans="1:18" ht="14.25">
      <c r="A31" s="208" t="s">
        <v>45</v>
      </c>
      <c r="B31" s="122"/>
      <c r="C31" s="204"/>
      <c r="D31" s="129"/>
      <c r="E31" s="122"/>
      <c r="F31" s="129"/>
      <c r="G31" s="300"/>
      <c r="H31" s="301"/>
      <c r="I31" s="30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14.25">
      <c r="A32" s="109" t="s">
        <v>34</v>
      </c>
      <c r="B32" s="280">
        <v>333383</v>
      </c>
      <c r="C32" s="205"/>
      <c r="D32" s="128"/>
      <c r="E32" s="280">
        <v>333383</v>
      </c>
      <c r="F32" s="128"/>
      <c r="G32" s="290"/>
      <c r="H32" s="42"/>
      <c r="I32" s="291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4.25">
      <c r="A33" s="109" t="s">
        <v>35</v>
      </c>
      <c r="B33" s="280">
        <v>774613</v>
      </c>
      <c r="C33" s="115" t="s">
        <v>129</v>
      </c>
      <c r="D33" s="128">
        <v>727898</v>
      </c>
      <c r="E33" s="280">
        <v>774613</v>
      </c>
      <c r="F33" s="303">
        <v>727898</v>
      </c>
      <c r="G33" s="290"/>
      <c r="H33" s="42"/>
      <c r="I33" s="291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4.25">
      <c r="A34" s="109" t="s">
        <v>36</v>
      </c>
      <c r="B34" s="114">
        <v>443046</v>
      </c>
      <c r="C34" s="205"/>
      <c r="D34" s="128"/>
      <c r="E34" s="114">
        <v>443046</v>
      </c>
      <c r="F34" s="128"/>
      <c r="G34" s="290"/>
      <c r="H34" s="42"/>
      <c r="I34" s="291"/>
      <c r="J34" s="42"/>
      <c r="K34" s="42"/>
      <c r="L34" s="42"/>
      <c r="M34" s="42"/>
      <c r="N34" s="42"/>
      <c r="O34" s="42"/>
      <c r="P34" s="42"/>
      <c r="Q34" s="42"/>
      <c r="R34" s="42"/>
    </row>
    <row r="35" spans="1:18" s="15" customFormat="1" ht="15">
      <c r="A35" s="117" t="s">
        <v>15</v>
      </c>
      <c r="B35" s="123">
        <f>B32+B33</f>
        <v>1107996</v>
      </c>
      <c r="C35" s="124" t="s">
        <v>15</v>
      </c>
      <c r="D35" s="130">
        <f>D33</f>
        <v>727898</v>
      </c>
      <c r="E35" s="123">
        <f>E32+E33</f>
        <v>1107996</v>
      </c>
      <c r="F35" s="304">
        <f>B33-F33</f>
        <v>46715</v>
      </c>
      <c r="G35" s="110"/>
      <c r="H35" s="295"/>
      <c r="I35" s="296"/>
      <c r="J35" s="53"/>
      <c r="K35" s="53"/>
      <c r="L35" s="53"/>
      <c r="M35" s="53"/>
      <c r="N35" s="53"/>
      <c r="O35" s="53"/>
      <c r="P35" s="53"/>
      <c r="Q35" s="53"/>
      <c r="R35" s="53"/>
    </row>
    <row r="36" spans="1:18" s="15" customFormat="1" ht="15">
      <c r="A36" s="207"/>
      <c r="B36" s="281"/>
      <c r="C36" s="200"/>
      <c r="D36" s="192"/>
      <c r="E36" s="281"/>
      <c r="F36" s="276"/>
      <c r="G36" s="110"/>
      <c r="H36" s="295"/>
      <c r="I36" s="296"/>
      <c r="J36" s="53"/>
      <c r="K36" s="53"/>
      <c r="L36" s="53"/>
      <c r="M36" s="53"/>
      <c r="N36" s="53"/>
      <c r="O36" s="53"/>
      <c r="P36" s="53"/>
      <c r="Q36" s="53"/>
      <c r="R36" s="53"/>
    </row>
    <row r="37" spans="1:18" ht="14.25">
      <c r="A37" s="112"/>
      <c r="B37" s="126"/>
      <c r="C37" s="125"/>
      <c r="D37" s="131"/>
      <c r="E37" s="126"/>
      <c r="F37" s="13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ht="15">
      <c r="A38" s="110"/>
      <c r="B38" s="133" t="e">
        <f>B18+B25+B35+B30</f>
        <v>#VALUE!</v>
      </c>
      <c r="C38" s="124" t="s">
        <v>50</v>
      </c>
      <c r="D38" s="133">
        <f>D18+D25+D35+D30</f>
        <v>4385697</v>
      </c>
      <c r="E38" s="133">
        <f>E18+E25+E35+E30</f>
        <v>5664587</v>
      </c>
      <c r="F38" s="279" t="e">
        <f>F18+F25+F30+F35</f>
        <v>#VALUE!</v>
      </c>
      <c r="G38" s="176" t="s">
        <v>212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12.75">
      <c r="A39" s="42"/>
      <c r="B39" s="42"/>
      <c r="C39" s="42"/>
      <c r="D39" s="42"/>
      <c r="E39" s="42"/>
      <c r="F39" s="282" t="e">
        <f>B33+B28+B21+B12</f>
        <v>#VALUE!</v>
      </c>
      <c r="G39" s="42" t="s">
        <v>213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2.75">
      <c r="A40" s="42"/>
      <c r="B40" s="42"/>
      <c r="C40" s="42"/>
      <c r="D40" s="42"/>
      <c r="E40" s="42"/>
      <c r="F40" s="282" t="e">
        <f>B11+B20+B27+B32</f>
        <v>#VALUE!</v>
      </c>
      <c r="G40" s="42" t="s">
        <v>214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2.75">
      <c r="A41" s="42"/>
      <c r="B41" s="235">
        <f>B17+B23+B29+B34</f>
        <v>3818376</v>
      </c>
      <c r="C41" s="42"/>
      <c r="D41" s="42"/>
      <c r="E41" s="42"/>
      <c r="F41" s="282" t="e">
        <f>F39+F40</f>
        <v>#VALUE!</v>
      </c>
      <c r="G41" s="42" t="s">
        <v>216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>
      <c r="A42" s="42"/>
      <c r="B42" s="235"/>
      <c r="C42" s="42"/>
      <c r="D42" s="42"/>
      <c r="E42" s="42"/>
      <c r="F42" s="282" t="e">
        <f>F41-F38</f>
        <v>#VALUE!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42"/>
      <c r="B43" s="235"/>
      <c r="C43" s="42"/>
      <c r="D43" s="42"/>
      <c r="E43" s="42"/>
      <c r="F43" s="28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ht="12.75">
      <c r="A44" s="42"/>
      <c r="B44" s="235"/>
      <c r="C44" s="42"/>
      <c r="D44" s="42"/>
      <c r="E44" s="42"/>
      <c r="F44" s="28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12.75">
      <c r="A45" s="42"/>
      <c r="B45" s="235"/>
      <c r="C45" s="42"/>
      <c r="D45" s="42"/>
      <c r="E45" s="42"/>
      <c r="F45" s="28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2.75">
      <c r="A46" s="42"/>
      <c r="B46" s="235"/>
      <c r="C46" s="42"/>
      <c r="D46" s="42"/>
      <c r="E46" s="42"/>
      <c r="F46" s="28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ht="12.75">
      <c r="A47" s="42"/>
      <c r="B47" s="235"/>
      <c r="C47" s="42"/>
      <c r="D47" s="42"/>
      <c r="E47" s="42"/>
      <c r="F47" s="28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2.75">
      <c r="A48" s="42"/>
      <c r="B48" s="235"/>
      <c r="C48" s="42"/>
      <c r="D48" s="42"/>
      <c r="E48" s="42"/>
      <c r="F48" s="28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ht="12.75">
      <c r="A49" s="42"/>
      <c r="B49" s="235"/>
      <c r="C49" s="42"/>
      <c r="D49" s="42"/>
      <c r="E49" s="42"/>
      <c r="F49" s="28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2.75">
      <c r="A50" s="42"/>
      <c r="B50" s="235"/>
      <c r="C50" s="42"/>
      <c r="D50" s="42"/>
      <c r="E50" s="42"/>
      <c r="F50" s="28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2.75">
      <c r="A51" s="42"/>
      <c r="B51" s="135"/>
      <c r="C51" s="42"/>
      <c r="D51" s="42"/>
      <c r="E51" s="42"/>
      <c r="F51" s="28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ht="12.75">
      <c r="A52" s="42"/>
      <c r="B52" s="43"/>
      <c r="C52" s="42"/>
      <c r="D52" s="42"/>
      <c r="E52" s="42"/>
      <c r="F52" s="240"/>
      <c r="G52" s="176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2.75">
      <c r="A53" s="42"/>
      <c r="B53" s="43"/>
      <c r="C53" s="42"/>
      <c r="D53" s="42"/>
      <c r="E53" s="42"/>
      <c r="F53" s="54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12.75">
      <c r="A54" s="43" t="s">
        <v>133</v>
      </c>
      <c r="B54" s="43"/>
      <c r="C54" s="42"/>
      <c r="D54" s="42"/>
      <c r="E54" s="42"/>
      <c r="F54" s="54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4.25">
      <c r="A55" s="43" t="s">
        <v>130</v>
      </c>
      <c r="B55" s="43"/>
      <c r="C55" s="43"/>
      <c r="D55" s="167">
        <v>500000</v>
      </c>
      <c r="E55" s="167"/>
      <c r="F55" s="43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ht="14.25" hidden="1">
      <c r="A56" s="43"/>
      <c r="B56" s="43"/>
      <c r="C56" s="43"/>
      <c r="D56" s="167"/>
      <c r="E56" s="167"/>
      <c r="F56" s="4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4.25">
      <c r="A57" s="43" t="s">
        <v>136</v>
      </c>
      <c r="B57" s="43"/>
      <c r="C57" s="43"/>
      <c r="D57" s="167">
        <v>801945</v>
      </c>
      <c r="E57" s="167"/>
      <c r="F57" s="43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ht="14.25">
      <c r="A58" s="43" t="s">
        <v>131</v>
      </c>
      <c r="B58" s="43"/>
      <c r="C58" s="43"/>
      <c r="D58" s="167">
        <v>875000</v>
      </c>
      <c r="E58" s="167"/>
      <c r="F58" s="43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ht="14.25">
      <c r="A59" s="43" t="s">
        <v>15</v>
      </c>
      <c r="B59" s="43"/>
      <c r="C59" s="43"/>
      <c r="D59" s="206">
        <f>SUM(D55:D58)</f>
        <v>2176945</v>
      </c>
      <c r="E59" s="206"/>
      <c r="F59" s="43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4.25">
      <c r="A60" s="43"/>
      <c r="B60" s="43"/>
      <c r="C60" s="43"/>
      <c r="D60" s="167"/>
      <c r="E60" s="167"/>
      <c r="F60" s="43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ht="14.25">
      <c r="A61" s="43"/>
      <c r="B61" s="43"/>
      <c r="C61" s="43"/>
      <c r="D61" s="167"/>
      <c r="E61" s="167"/>
      <c r="F61" s="43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4.25">
      <c r="A62" s="43"/>
      <c r="B62" s="43"/>
      <c r="C62" s="43"/>
      <c r="D62" s="167"/>
      <c r="E62" s="167"/>
      <c r="F62" s="43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2.75">
      <c r="A63" s="43"/>
      <c r="B63" s="43"/>
      <c r="C63" s="43"/>
      <c r="D63" s="43"/>
      <c r="E63" s="43"/>
      <c r="F63" s="43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2.75">
      <c r="A64" s="43"/>
      <c r="B64" s="43"/>
      <c r="C64" s="43"/>
      <c r="D64" s="43"/>
      <c r="E64" s="43"/>
      <c r="F64" s="43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ht="12.75">
      <c r="A65" s="43"/>
      <c r="B65" s="43" t="s">
        <v>51</v>
      </c>
      <c r="C65" s="42"/>
      <c r="D65" s="42"/>
      <c r="E65" s="42"/>
      <c r="F65" s="43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ht="12.75">
      <c r="A66" s="42"/>
      <c r="B66" s="43"/>
      <c r="C66" s="42"/>
      <c r="D66" s="42"/>
      <c r="E66" s="42"/>
      <c r="F66" s="54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ht="12.75">
      <c r="A67" s="42"/>
      <c r="B67" s="43"/>
      <c r="C67" s="42"/>
      <c r="D67" s="42"/>
      <c r="E67" s="42"/>
      <c r="F67" s="54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ht="12.75">
      <c r="A68" s="42" t="s">
        <v>215</v>
      </c>
      <c r="B68" s="283">
        <v>371795</v>
      </c>
      <c r="C68" s="42"/>
      <c r="D68" s="42"/>
      <c r="E68" s="42"/>
      <c r="F68" s="54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ht="14.25">
      <c r="A69" s="41"/>
      <c r="B69" s="41"/>
      <c r="C69" s="41"/>
      <c r="D69" s="41"/>
      <c r="E69" s="41"/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ht="14.25">
      <c r="A70" s="41"/>
      <c r="B70" s="41"/>
      <c r="C70" s="41"/>
      <c r="D70" s="41"/>
      <c r="E70" s="41"/>
      <c r="F70" s="55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ht="14.25">
      <c r="A71" s="41"/>
      <c r="B71" s="41"/>
      <c r="C71" s="41"/>
      <c r="D71" s="198"/>
      <c r="E71" s="198"/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9" ht="12.75">
      <c r="A72" s="226"/>
      <c r="B72" s="24"/>
      <c r="C72" s="226"/>
      <c r="D72" s="43"/>
      <c r="E72" s="43"/>
      <c r="F72" s="226"/>
      <c r="G72" s="12"/>
      <c r="H72" s="12"/>
      <c r="I72" s="12"/>
    </row>
    <row r="73" spans="1:9" ht="12.75">
      <c r="A73" s="99"/>
      <c r="B73" s="99"/>
      <c r="C73" s="99"/>
      <c r="D73" s="99"/>
      <c r="E73" s="99"/>
      <c r="F73" s="227"/>
      <c r="G73" s="12"/>
      <c r="H73" s="12"/>
      <c r="I73" s="12"/>
    </row>
    <row r="74" spans="1:9" ht="12.75">
      <c r="A74" s="202"/>
      <c r="B74" s="99"/>
      <c r="C74" s="202"/>
      <c r="D74" s="99"/>
      <c r="E74" s="99"/>
      <c r="F74" s="202"/>
      <c r="G74" s="12"/>
      <c r="H74" s="12"/>
      <c r="I74" s="12"/>
    </row>
    <row r="75" spans="1:9" ht="12.75">
      <c r="A75" s="106"/>
      <c r="B75" s="228"/>
      <c r="C75" s="106"/>
      <c r="D75" s="229"/>
      <c r="E75" s="229"/>
      <c r="F75" s="106"/>
      <c r="G75" s="12"/>
      <c r="H75" s="12"/>
      <c r="I75" s="12"/>
    </row>
    <row r="76" spans="1:9" ht="14.25">
      <c r="A76" s="230"/>
      <c r="B76" s="231"/>
      <c r="C76" s="106"/>
      <c r="D76" s="232"/>
      <c r="E76" s="232"/>
      <c r="F76" s="232"/>
      <c r="G76" s="12"/>
      <c r="H76" s="12"/>
      <c r="I76" s="12"/>
    </row>
    <row r="77" spans="1:9" ht="14.25">
      <c r="A77" s="106"/>
      <c r="B77" s="231"/>
      <c r="C77" s="106"/>
      <c r="D77" s="232"/>
      <c r="E77" s="232"/>
      <c r="F77" s="232"/>
      <c r="G77" s="12"/>
      <c r="H77" s="12"/>
      <c r="I77" s="12"/>
    </row>
    <row r="78" spans="1:9" ht="14.25">
      <c r="A78" s="106"/>
      <c r="B78" s="233"/>
      <c r="C78" s="115"/>
      <c r="D78" s="192"/>
      <c r="E78" s="192"/>
      <c r="F78" s="234"/>
      <c r="G78" s="12"/>
      <c r="H78" s="12"/>
      <c r="I78" s="12"/>
    </row>
    <row r="79" spans="1:9" ht="14.25">
      <c r="A79" s="106"/>
      <c r="B79" s="233"/>
      <c r="C79" s="115"/>
      <c r="D79" s="199"/>
      <c r="E79" s="199"/>
      <c r="F79" s="234"/>
      <c r="G79" s="12"/>
      <c r="H79" s="12"/>
      <c r="I79" s="12"/>
    </row>
    <row r="80" spans="1:9" ht="14.25">
      <c r="A80" s="106"/>
      <c r="B80" s="233"/>
      <c r="C80" s="115"/>
      <c r="D80" s="199"/>
      <c r="E80" s="199"/>
      <c r="F80" s="199"/>
      <c r="G80" s="12"/>
      <c r="H80" s="12"/>
      <c r="I80" s="12"/>
    </row>
    <row r="81" spans="1:9" ht="14.25">
      <c r="A81" s="106"/>
      <c r="B81" s="233"/>
      <c r="C81" s="115"/>
      <c r="D81" s="199"/>
      <c r="E81" s="199"/>
      <c r="F81" s="199"/>
      <c r="G81" s="12"/>
      <c r="H81" s="12"/>
      <c r="I81" s="12"/>
    </row>
    <row r="82" spans="1:9" ht="14.25">
      <c r="A82" s="106"/>
      <c r="B82" s="233"/>
      <c r="C82" s="115"/>
      <c r="D82" s="199"/>
      <c r="E82" s="199"/>
      <c r="F82" s="234"/>
      <c r="G82" s="12"/>
      <c r="H82" s="12"/>
      <c r="I82" s="12"/>
    </row>
    <row r="83" spans="1:9" ht="14.25" hidden="1">
      <c r="A83" s="106"/>
      <c r="B83" s="233"/>
      <c r="C83" s="115"/>
      <c r="D83" s="199"/>
      <c r="E83" s="199"/>
      <c r="F83" s="199"/>
      <c r="G83" s="12"/>
      <c r="H83" s="12"/>
      <c r="I83" s="12"/>
    </row>
    <row r="84" spans="1:9" ht="14.25" hidden="1">
      <c r="A84" s="106"/>
      <c r="B84" s="233"/>
      <c r="C84" s="115"/>
      <c r="D84" s="199"/>
      <c r="E84" s="199"/>
      <c r="F84" s="199"/>
      <c r="G84" s="12"/>
      <c r="H84" s="12"/>
      <c r="I84" s="12"/>
    </row>
    <row r="85" spans="1:9" ht="14.25">
      <c r="A85" s="106"/>
      <c r="B85" s="233"/>
      <c r="C85" s="115"/>
      <c r="D85" s="199"/>
      <c r="E85" s="199"/>
      <c r="F85" s="199"/>
      <c r="G85" s="12"/>
      <c r="H85" s="12"/>
      <c r="I85" s="12"/>
    </row>
    <row r="86" spans="1:9" ht="14.25" hidden="1">
      <c r="A86" s="106"/>
      <c r="B86" s="233"/>
      <c r="C86" s="194"/>
      <c r="D86" s="199"/>
      <c r="E86" s="199"/>
      <c r="F86" s="199"/>
      <c r="G86" s="12"/>
      <c r="H86" s="12"/>
      <c r="I86" s="12"/>
    </row>
    <row r="87" spans="1:9" ht="14.25">
      <c r="A87" s="106"/>
      <c r="B87" s="233"/>
      <c r="C87" s="115"/>
      <c r="D87" s="199"/>
      <c r="E87" s="199"/>
      <c r="F87" s="199"/>
      <c r="G87" s="12"/>
      <c r="H87" s="12"/>
      <c r="I87" s="12"/>
    </row>
    <row r="88" spans="1:9" ht="14.25">
      <c r="A88" s="106"/>
      <c r="B88" s="233"/>
      <c r="C88" s="115"/>
      <c r="D88" s="192"/>
      <c r="E88" s="192"/>
      <c r="F88" s="199"/>
      <c r="G88" s="12"/>
      <c r="H88" s="12"/>
      <c r="I88" s="12"/>
    </row>
    <row r="89" spans="1:9" ht="14.25">
      <c r="A89" s="106"/>
      <c r="B89" s="233"/>
      <c r="C89" s="134"/>
      <c r="D89" s="235"/>
      <c r="E89" s="235"/>
      <c r="F89" s="199"/>
      <c r="G89" s="12"/>
      <c r="H89" s="12"/>
      <c r="I89" s="12"/>
    </row>
    <row r="90" spans="1:9" ht="14.25">
      <c r="A90" s="106"/>
      <c r="B90" s="233"/>
      <c r="C90" s="134"/>
      <c r="D90" s="235"/>
      <c r="E90" s="235"/>
      <c r="F90" s="199"/>
      <c r="G90" s="12"/>
      <c r="H90" s="12"/>
      <c r="I90" s="12"/>
    </row>
    <row r="91" spans="1:9" ht="14.25">
      <c r="A91" s="106"/>
      <c r="B91" s="233"/>
      <c r="C91" s="134"/>
      <c r="D91" s="235"/>
      <c r="E91" s="235"/>
      <c r="F91" s="199"/>
      <c r="G91" s="12"/>
      <c r="H91" s="12"/>
      <c r="I91" s="12"/>
    </row>
    <row r="92" spans="1:9" ht="14.25">
      <c r="A92" s="106"/>
      <c r="B92" s="233"/>
      <c r="C92" s="134"/>
      <c r="D92" s="235"/>
      <c r="E92" s="235"/>
      <c r="F92" s="199"/>
      <c r="G92" s="12"/>
      <c r="H92" s="12"/>
      <c r="I92" s="12"/>
    </row>
    <row r="93" spans="1:9" ht="14.25">
      <c r="A93" s="106"/>
      <c r="B93" s="233"/>
      <c r="C93" s="115"/>
      <c r="D93" s="199"/>
      <c r="E93" s="199"/>
      <c r="F93" s="199"/>
      <c r="G93" s="12"/>
      <c r="H93" s="12"/>
      <c r="I93" s="12"/>
    </row>
    <row r="94" spans="1:9" ht="14.25">
      <c r="A94" s="41"/>
      <c r="B94" s="41" t="s">
        <v>46</v>
      </c>
      <c r="C94" s="41"/>
      <c r="D94" s="41"/>
      <c r="E94" s="41"/>
      <c r="F94" s="41"/>
      <c r="G94" s="39"/>
      <c r="H94" s="24"/>
      <c r="I94" s="24"/>
    </row>
    <row r="95" spans="1:9" ht="14.25">
      <c r="A95" s="41"/>
      <c r="B95" s="41"/>
      <c r="C95" s="41"/>
      <c r="D95" s="41"/>
      <c r="E95" s="41"/>
      <c r="F95" s="55"/>
      <c r="G95" s="43"/>
      <c r="H95" s="24"/>
      <c r="I95" s="24"/>
    </row>
    <row r="96" spans="1:9" ht="14.25">
      <c r="A96" s="41"/>
      <c r="B96" s="41"/>
      <c r="C96" s="41"/>
      <c r="D96" s="49" t="s">
        <v>206</v>
      </c>
      <c r="E96" s="49"/>
      <c r="F96" s="41"/>
      <c r="G96" s="43"/>
      <c r="H96" s="43"/>
      <c r="I96" s="43"/>
    </row>
    <row r="97" spans="1:9" ht="12.75">
      <c r="A97" s="93"/>
      <c r="B97" s="20" t="s">
        <v>47</v>
      </c>
      <c r="C97" s="95"/>
      <c r="D97" s="94"/>
      <c r="E97" s="96"/>
      <c r="F97" s="96"/>
      <c r="G97" s="287"/>
      <c r="H97" s="288"/>
      <c r="I97" s="289"/>
    </row>
    <row r="98" spans="1:9" ht="12.75">
      <c r="A98" s="97" t="s">
        <v>37</v>
      </c>
      <c r="B98" s="98" t="s">
        <v>48</v>
      </c>
      <c r="C98" s="99" t="s">
        <v>39</v>
      </c>
      <c r="D98" s="98" t="s">
        <v>41</v>
      </c>
      <c r="E98" s="274"/>
      <c r="F98" s="274" t="s">
        <v>210</v>
      </c>
      <c r="G98" s="290"/>
      <c r="H98" s="42"/>
      <c r="I98" s="291"/>
    </row>
    <row r="99" spans="1:9" ht="12.75">
      <c r="A99" s="201"/>
      <c r="B99" s="98" t="s">
        <v>49</v>
      </c>
      <c r="C99" s="202"/>
      <c r="D99" s="98" t="s">
        <v>42</v>
      </c>
      <c r="E99" s="274"/>
      <c r="F99" s="277" t="s">
        <v>211</v>
      </c>
      <c r="G99" s="290"/>
      <c r="H99" s="42"/>
      <c r="I99" s="291"/>
    </row>
    <row r="100" spans="1:9" ht="12.75">
      <c r="A100" s="101"/>
      <c r="B100" s="102"/>
      <c r="C100" s="103"/>
      <c r="D100" s="104"/>
      <c r="E100" s="285"/>
      <c r="F100" s="105"/>
      <c r="G100" s="297"/>
      <c r="H100" s="298"/>
      <c r="I100" s="299"/>
    </row>
    <row r="101" spans="1:9" ht="14.25">
      <c r="A101" s="107" t="s">
        <v>33</v>
      </c>
      <c r="B101" s="111"/>
      <c r="C101" s="108"/>
      <c r="D101" s="127"/>
      <c r="E101" s="113"/>
      <c r="F101" s="113"/>
      <c r="G101" s="292"/>
      <c r="H101" s="42"/>
      <c r="I101" s="293"/>
    </row>
    <row r="102" spans="1:9" ht="14.25">
      <c r="A102" s="109" t="s">
        <v>34</v>
      </c>
      <c r="B102" s="114">
        <v>656930</v>
      </c>
      <c r="C102" s="115"/>
      <c r="D102" s="128"/>
      <c r="E102" s="116"/>
      <c r="F102" s="116"/>
      <c r="G102" s="292"/>
      <c r="H102" s="52"/>
      <c r="I102" s="293"/>
    </row>
    <row r="103" spans="1:9" ht="14.25">
      <c r="A103" s="109" t="s">
        <v>35</v>
      </c>
      <c r="B103" s="114">
        <v>1357025</v>
      </c>
      <c r="C103" s="115" t="s">
        <v>218</v>
      </c>
      <c r="D103" s="128">
        <v>683356</v>
      </c>
      <c r="E103" s="116"/>
      <c r="F103" s="284">
        <v>1757418</v>
      </c>
      <c r="G103" s="294" t="s">
        <v>219</v>
      </c>
      <c r="H103" s="286"/>
      <c r="I103" s="291"/>
    </row>
    <row r="104" spans="1:9" ht="14.25">
      <c r="A104" s="109"/>
      <c r="B104" s="114"/>
      <c r="C104" s="115" t="s">
        <v>208</v>
      </c>
      <c r="D104" s="128">
        <v>243449</v>
      </c>
      <c r="E104" s="116"/>
      <c r="F104" s="116"/>
      <c r="G104" s="294" t="s">
        <v>220</v>
      </c>
      <c r="H104" s="286"/>
      <c r="I104" s="291"/>
    </row>
    <row r="105" spans="1:9" ht="14.25">
      <c r="A105" s="109"/>
      <c r="B105" s="114"/>
      <c r="C105" s="115" t="s">
        <v>207</v>
      </c>
      <c r="D105" s="128">
        <v>430220</v>
      </c>
      <c r="E105" s="116"/>
      <c r="F105" s="116"/>
      <c r="G105" s="294" t="s">
        <v>221</v>
      </c>
      <c r="H105" s="286"/>
      <c r="I105" s="291"/>
    </row>
    <row r="106" spans="1:9" ht="14.25">
      <c r="A106" s="109"/>
      <c r="B106" s="114"/>
      <c r="C106" s="115"/>
      <c r="D106" s="128"/>
      <c r="E106" s="116"/>
      <c r="F106" s="116"/>
      <c r="G106" s="290" t="s">
        <v>222</v>
      </c>
      <c r="H106" s="42"/>
      <c r="I106" s="291"/>
    </row>
    <row r="107" spans="1:9" ht="14.25">
      <c r="A107" s="109"/>
      <c r="B107" s="114"/>
      <c r="C107" s="115" t="s">
        <v>21</v>
      </c>
      <c r="D107" s="128">
        <f>SUM(D103:D106)</f>
        <v>1357025</v>
      </c>
      <c r="E107" s="116"/>
      <c r="F107" s="275"/>
      <c r="G107" s="290"/>
      <c r="H107" s="42"/>
      <c r="I107" s="291"/>
    </row>
    <row r="108" spans="1:9" ht="14.25">
      <c r="A108" s="109" t="s">
        <v>36</v>
      </c>
      <c r="B108" s="114">
        <v>974211</v>
      </c>
      <c r="C108" s="115"/>
      <c r="D108" s="128"/>
      <c r="E108" s="116"/>
      <c r="F108" s="116"/>
      <c r="G108" s="290"/>
      <c r="H108" s="42"/>
      <c r="I108" s="291"/>
    </row>
    <row r="109" spans="1:9" ht="14.25">
      <c r="A109" s="117" t="s">
        <v>15</v>
      </c>
      <c r="B109" s="130">
        <f>B102+B103</f>
        <v>2013955</v>
      </c>
      <c r="C109" s="117" t="s">
        <v>15</v>
      </c>
      <c r="D109" s="130">
        <f>D107</f>
        <v>1357025</v>
      </c>
      <c r="E109" s="193"/>
      <c r="F109" s="284">
        <f>B103-F103</f>
        <v>-400393</v>
      </c>
      <c r="G109" s="290"/>
      <c r="H109" s="42"/>
      <c r="I109" s="291"/>
    </row>
    <row r="110" spans="1:9" ht="14.25">
      <c r="A110" s="107" t="s">
        <v>38</v>
      </c>
      <c r="B110" s="119"/>
      <c r="C110" s="120"/>
      <c r="D110" s="129"/>
      <c r="E110" s="121"/>
      <c r="F110" s="121"/>
      <c r="G110" s="300"/>
      <c r="H110" s="301"/>
      <c r="I110" s="302"/>
    </row>
    <row r="111" spans="1:9" ht="14.25">
      <c r="A111" s="109" t="s">
        <v>34</v>
      </c>
      <c r="B111" s="280">
        <v>682906</v>
      </c>
      <c r="C111" s="115"/>
      <c r="D111" s="128"/>
      <c r="E111" s="116"/>
      <c r="F111" s="116"/>
      <c r="G111" s="290"/>
      <c r="H111" s="42"/>
      <c r="I111" s="291"/>
    </row>
    <row r="112" spans="1:9" ht="14.25">
      <c r="A112" s="109" t="s">
        <v>35</v>
      </c>
      <c r="B112" s="280">
        <v>1695314</v>
      </c>
      <c r="C112" s="115" t="s">
        <v>127</v>
      </c>
      <c r="D112" s="128">
        <v>1483450</v>
      </c>
      <c r="E112" s="116"/>
      <c r="F112" s="116">
        <f>B112-F116</f>
        <v>-1261857</v>
      </c>
      <c r="G112" s="290"/>
      <c r="H112" s="42"/>
      <c r="I112" s="291"/>
    </row>
    <row r="113" spans="1:9" ht="14.25">
      <c r="A113" s="109"/>
      <c r="B113" s="114"/>
      <c r="C113" s="115" t="s">
        <v>209</v>
      </c>
      <c r="D113" s="128">
        <v>211864</v>
      </c>
      <c r="E113" s="116"/>
      <c r="F113" s="116"/>
      <c r="G113" s="290"/>
      <c r="H113" s="42"/>
      <c r="I113" s="291"/>
    </row>
    <row r="114" spans="1:9" ht="14.25" hidden="1">
      <c r="A114" s="109" t="s">
        <v>36</v>
      </c>
      <c r="B114" s="114">
        <v>2384044</v>
      </c>
      <c r="C114" s="115"/>
      <c r="D114" s="128"/>
      <c r="E114" s="116"/>
      <c r="F114" s="275"/>
      <c r="G114" s="290">
        <f>2450000*0.3</f>
        <v>735000</v>
      </c>
      <c r="H114" s="42"/>
      <c r="I114" s="291"/>
    </row>
    <row r="115" spans="1:9" ht="14.25" hidden="1">
      <c r="A115" s="109"/>
      <c r="B115" s="114"/>
      <c r="C115" s="115"/>
      <c r="D115" s="128"/>
      <c r="E115" s="116"/>
      <c r="F115" s="116"/>
      <c r="G115" s="290"/>
      <c r="H115" s="42"/>
      <c r="I115" s="291"/>
    </row>
    <row r="116" spans="1:9" ht="14.25" hidden="1">
      <c r="A116" s="117" t="s">
        <v>15</v>
      </c>
      <c r="B116" s="130">
        <f>B111+B112</f>
        <v>2378220</v>
      </c>
      <c r="C116" s="117" t="s">
        <v>15</v>
      </c>
      <c r="D116" s="130">
        <f>D112+D113</f>
        <v>1695314</v>
      </c>
      <c r="E116" s="130"/>
      <c r="F116" s="278">
        <v>2957171</v>
      </c>
      <c r="G116" s="297"/>
      <c r="H116" s="298"/>
      <c r="I116" s="299"/>
    </row>
    <row r="117" spans="1:9" ht="14.25" hidden="1">
      <c r="A117" s="209" t="s">
        <v>134</v>
      </c>
      <c r="B117" s="119"/>
      <c r="C117" s="207"/>
      <c r="D117" s="128"/>
      <c r="E117" s="116"/>
      <c r="F117" s="193"/>
      <c r="G117" s="290"/>
      <c r="H117" s="42"/>
      <c r="I117" s="291"/>
    </row>
    <row r="118" spans="1:9" ht="14.25" hidden="1">
      <c r="A118" s="210" t="s">
        <v>34</v>
      </c>
      <c r="B118" s="280">
        <v>60816</v>
      </c>
      <c r="C118" s="207"/>
      <c r="D118" s="128"/>
      <c r="E118" s="116"/>
      <c r="F118" s="193"/>
      <c r="G118" s="290"/>
      <c r="H118" s="42"/>
      <c r="I118" s="291"/>
    </row>
    <row r="119" spans="1:9" ht="14.25" hidden="1">
      <c r="A119" s="210" t="s">
        <v>35</v>
      </c>
      <c r="B119" s="280">
        <v>103600</v>
      </c>
      <c r="C119" s="115" t="s">
        <v>135</v>
      </c>
      <c r="D119" s="128">
        <v>605460</v>
      </c>
      <c r="E119" s="116"/>
      <c r="F119" s="284">
        <v>605460</v>
      </c>
      <c r="G119" s="290" t="s">
        <v>217</v>
      </c>
      <c r="H119" s="42"/>
      <c r="I119" s="291"/>
    </row>
    <row r="120" spans="1:9" ht="14.25">
      <c r="A120" s="210" t="s">
        <v>36</v>
      </c>
      <c r="B120" s="114">
        <v>17075</v>
      </c>
      <c r="C120" s="207"/>
      <c r="D120" s="128"/>
      <c r="E120" s="116"/>
      <c r="F120" s="193"/>
      <c r="G120" s="290"/>
      <c r="H120" s="42"/>
      <c r="I120" s="291"/>
    </row>
    <row r="121" spans="1:9" ht="14.25">
      <c r="A121" s="211" t="s">
        <v>15</v>
      </c>
      <c r="B121" s="130">
        <f>SUM(B118:B119)</f>
        <v>164416</v>
      </c>
      <c r="C121" s="117" t="s">
        <v>15</v>
      </c>
      <c r="D121" s="130">
        <f>D119</f>
        <v>605460</v>
      </c>
      <c r="E121" s="193"/>
      <c r="F121" s="284">
        <f>B119-F119</f>
        <v>-501860</v>
      </c>
      <c r="G121" s="290"/>
      <c r="H121" s="42"/>
      <c r="I121" s="291"/>
    </row>
    <row r="122" spans="1:9" ht="14.25">
      <c r="A122" s="208" t="s">
        <v>45</v>
      </c>
      <c r="B122" s="122"/>
      <c r="C122" s="204"/>
      <c r="D122" s="129"/>
      <c r="E122" s="129"/>
      <c r="F122" s="129"/>
      <c r="G122" s="300"/>
      <c r="H122" s="301"/>
      <c r="I122" s="302"/>
    </row>
    <row r="123" spans="1:9" ht="14.25">
      <c r="A123" s="109" t="s">
        <v>34</v>
      </c>
      <c r="B123" s="280">
        <v>333383</v>
      </c>
      <c r="C123" s="205"/>
      <c r="D123" s="128"/>
      <c r="E123" s="128"/>
      <c r="F123" s="128"/>
      <c r="G123" s="290"/>
      <c r="H123" s="42"/>
      <c r="I123" s="291"/>
    </row>
    <row r="124" spans="1:9" ht="14.25">
      <c r="A124" s="109" t="s">
        <v>35</v>
      </c>
      <c r="B124" s="280">
        <v>774613</v>
      </c>
      <c r="C124" s="115" t="s">
        <v>129</v>
      </c>
      <c r="D124" s="128">
        <v>727898</v>
      </c>
      <c r="E124" s="128"/>
      <c r="F124" s="303">
        <v>727898</v>
      </c>
      <c r="G124" s="290"/>
      <c r="H124" s="42"/>
      <c r="I124" s="291"/>
    </row>
    <row r="125" spans="1:9" ht="14.25">
      <c r="A125" s="109" t="s">
        <v>36</v>
      </c>
      <c r="B125" s="114">
        <v>443046</v>
      </c>
      <c r="C125" s="205"/>
      <c r="D125" s="128"/>
      <c r="E125" s="128"/>
      <c r="F125" s="128"/>
      <c r="G125" s="290"/>
      <c r="H125" s="42"/>
      <c r="I125" s="291"/>
    </row>
    <row r="126" spans="1:9" ht="15">
      <c r="A126" s="117" t="s">
        <v>15</v>
      </c>
      <c r="B126" s="123">
        <f>B123+B124</f>
        <v>1107996</v>
      </c>
      <c r="C126" s="124" t="s">
        <v>15</v>
      </c>
      <c r="D126" s="130">
        <f>D124</f>
        <v>727898</v>
      </c>
      <c r="E126" s="130"/>
      <c r="F126" s="304">
        <f>B124-F124</f>
        <v>46715</v>
      </c>
      <c r="G126" s="110"/>
      <c r="H126" s="295"/>
      <c r="I126" s="296"/>
    </row>
    <row r="127" spans="1:9" ht="15">
      <c r="A127" s="207"/>
      <c r="B127" s="281"/>
      <c r="C127" s="200"/>
      <c r="D127" s="192"/>
      <c r="E127" s="192"/>
      <c r="F127" s="276"/>
      <c r="G127" s="110"/>
      <c r="H127" s="295"/>
      <c r="I127" s="296"/>
    </row>
    <row r="128" spans="1:9" ht="14.25">
      <c r="A128" s="112"/>
      <c r="B128" s="126"/>
      <c r="C128" s="125"/>
      <c r="D128" s="131"/>
      <c r="E128" s="131"/>
      <c r="F128" s="132"/>
      <c r="G128" s="42"/>
      <c r="H128" s="42"/>
      <c r="I128" s="42"/>
    </row>
    <row r="129" spans="1:9" ht="15">
      <c r="A129" s="110"/>
      <c r="B129" s="133">
        <f>B109+B116+B126+B121</f>
        <v>5664587</v>
      </c>
      <c r="C129" s="124" t="s">
        <v>50</v>
      </c>
      <c r="D129" s="133">
        <f>D109+D116+D126+D121</f>
        <v>4385697</v>
      </c>
      <c r="E129" s="133"/>
      <c r="F129" s="279">
        <f>F109+F116+F121+F126</f>
        <v>2101633</v>
      </c>
      <c r="G129" s="176" t="s">
        <v>212</v>
      </c>
      <c r="H129" s="42"/>
      <c r="I129" s="42"/>
    </row>
    <row r="130" spans="1:9" ht="12.75">
      <c r="A130" s="42"/>
      <c r="B130" s="42"/>
      <c r="C130" s="42"/>
      <c r="D130" s="42"/>
      <c r="E130" s="42"/>
      <c r="F130" s="282">
        <f>B124+B119+B112+B103</f>
        <v>3930552</v>
      </c>
      <c r="G130" s="42" t="s">
        <v>213</v>
      </c>
      <c r="H130" s="42"/>
      <c r="I130" s="42"/>
    </row>
    <row r="131" spans="1:9" ht="12.75">
      <c r="A131" s="42"/>
      <c r="B131" s="42"/>
      <c r="C131" s="42"/>
      <c r="D131" s="42"/>
      <c r="E131" s="42"/>
      <c r="F131" s="282">
        <f>B102+B111+B118+B123</f>
        <v>1734035</v>
      </c>
      <c r="G131" s="42" t="s">
        <v>214</v>
      </c>
      <c r="H131" s="42"/>
      <c r="I131" s="42"/>
    </row>
    <row r="132" spans="1:9" ht="12.75" hidden="1">
      <c r="A132" s="42"/>
      <c r="B132" s="235">
        <f>B108+B114+B120+B125</f>
        <v>3818376</v>
      </c>
      <c r="C132" s="42"/>
      <c r="D132" s="42"/>
      <c r="E132" s="42"/>
      <c r="F132" s="282">
        <f>F130+F131</f>
        <v>5664587</v>
      </c>
      <c r="G132" s="42" t="s">
        <v>216</v>
      </c>
      <c r="H132" s="42"/>
      <c r="I132" s="42"/>
    </row>
    <row r="133" spans="1:9" ht="12.75">
      <c r="A133" s="42"/>
      <c r="B133" s="235"/>
      <c r="C133" s="42"/>
      <c r="D133" s="42"/>
      <c r="E133" s="42"/>
      <c r="F133" s="282">
        <f>F132-F129</f>
        <v>3562954</v>
      </c>
      <c r="G133" s="42"/>
      <c r="H133" s="42"/>
      <c r="I133" s="42"/>
    </row>
    <row r="134" spans="1:9" ht="12.75">
      <c r="A134" s="42"/>
      <c r="B134" s="235"/>
      <c r="C134" s="42"/>
      <c r="D134" s="42"/>
      <c r="E134" s="42"/>
      <c r="F134" s="282"/>
      <c r="G134" s="42"/>
      <c r="H134" s="42"/>
      <c r="I134" s="42"/>
    </row>
    <row r="135" spans="1:9" ht="12.75" hidden="1">
      <c r="A135" s="42"/>
      <c r="B135" s="235"/>
      <c r="C135" s="42"/>
      <c r="D135" s="42"/>
      <c r="E135" s="42"/>
      <c r="F135" s="282"/>
      <c r="G135" s="42"/>
      <c r="H135" s="42"/>
      <c r="I135" s="42"/>
    </row>
    <row r="136" spans="1:9" ht="12.75" hidden="1">
      <c r="A136" s="42"/>
      <c r="B136" s="235"/>
      <c r="C136" s="42"/>
      <c r="D136" s="42"/>
      <c r="E136" s="42"/>
      <c r="F136" s="282"/>
      <c r="G136" s="42"/>
      <c r="H136" s="42"/>
      <c r="I136" s="42"/>
    </row>
    <row r="137" spans="1:9" ht="12.75" hidden="1">
      <c r="A137" s="42"/>
      <c r="B137" s="235"/>
      <c r="C137" s="42"/>
      <c r="D137" s="42"/>
      <c r="E137" s="42"/>
      <c r="F137" s="282"/>
      <c r="G137" s="42"/>
      <c r="H137" s="42"/>
      <c r="I137" s="42"/>
    </row>
    <row r="138" spans="1:9" ht="12.75" hidden="1">
      <c r="A138" s="42"/>
      <c r="B138" s="235"/>
      <c r="C138" s="42"/>
      <c r="D138" s="42"/>
      <c r="E138" s="42"/>
      <c r="F138" s="282"/>
      <c r="G138" s="42"/>
      <c r="H138" s="42"/>
      <c r="I138" s="42"/>
    </row>
    <row r="139" spans="1:9" ht="12.75" hidden="1">
      <c r="A139" s="42"/>
      <c r="B139" s="235"/>
      <c r="C139" s="42"/>
      <c r="D139" s="42"/>
      <c r="E139" s="42"/>
      <c r="F139" s="282"/>
      <c r="G139" s="42"/>
      <c r="H139" s="42"/>
      <c r="I139" s="42"/>
    </row>
    <row r="140" spans="1:9" ht="12.75">
      <c r="A140" s="42"/>
      <c r="B140" s="235"/>
      <c r="C140" s="42"/>
      <c r="D140" s="42"/>
      <c r="E140" s="42"/>
      <c r="F140" s="282"/>
      <c r="G140" s="42"/>
      <c r="H140" s="42"/>
      <c r="I140" s="42"/>
    </row>
    <row r="141" spans="1:9" ht="12.75">
      <c r="A141" s="42"/>
      <c r="B141" s="235"/>
      <c r="C141" s="42"/>
      <c r="D141" s="42"/>
      <c r="E141" s="42"/>
      <c r="F141" s="282"/>
      <c r="G141" s="42"/>
      <c r="H141" s="42"/>
      <c r="I141" s="42"/>
    </row>
    <row r="142" spans="1:9" ht="12.75">
      <c r="A142" s="42"/>
      <c r="B142" s="135"/>
      <c r="C142" s="42"/>
      <c r="D142" s="42"/>
      <c r="E142" s="42"/>
      <c r="F142" s="282"/>
      <c r="G142" s="42"/>
      <c r="H142" s="42"/>
      <c r="I142" s="42"/>
    </row>
    <row r="143" spans="1:9" ht="12.75">
      <c r="A143" s="42"/>
      <c r="B143" s="43"/>
      <c r="C143" s="42"/>
      <c r="D143" s="42"/>
      <c r="E143" s="42"/>
      <c r="F143" s="240"/>
      <c r="G143" s="176"/>
      <c r="H143" s="42"/>
      <c r="I143" s="42"/>
    </row>
    <row r="144" spans="1:9" ht="12.75">
      <c r="A144" s="42"/>
      <c r="B144" s="43"/>
      <c r="C144" s="42"/>
      <c r="D144" s="42"/>
      <c r="E144" s="42"/>
      <c r="F144" s="54"/>
      <c r="G144" s="42"/>
      <c r="H144" s="42"/>
      <c r="I144" s="42"/>
    </row>
    <row r="145" spans="1:9" ht="12.75">
      <c r="A145" s="43" t="s">
        <v>133</v>
      </c>
      <c r="B145" s="43"/>
      <c r="C145" s="42"/>
      <c r="D145" s="42"/>
      <c r="E145" s="42"/>
      <c r="F145" s="54"/>
      <c r="G145" s="42"/>
      <c r="H145" s="42"/>
      <c r="I145" s="42"/>
    </row>
    <row r="146" spans="1:9" ht="14.25">
      <c r="A146" s="43" t="s">
        <v>130</v>
      </c>
      <c r="B146" s="43"/>
      <c r="C146" s="43"/>
      <c r="D146" s="167">
        <v>500000</v>
      </c>
      <c r="E146" s="167"/>
      <c r="F146" s="43"/>
      <c r="G146" s="42"/>
      <c r="H146" s="42"/>
      <c r="I146" s="42"/>
    </row>
    <row r="147" spans="1:9" ht="14.25">
      <c r="A147" s="43"/>
      <c r="B147" s="43"/>
      <c r="C147" s="43"/>
      <c r="D147" s="167"/>
      <c r="E147" s="167"/>
      <c r="F147" s="43"/>
      <c r="G147" s="42"/>
      <c r="H147" s="42"/>
      <c r="I147" s="42"/>
    </row>
    <row r="148" spans="1:9" ht="14.25">
      <c r="A148" s="43" t="s">
        <v>136</v>
      </c>
      <c r="B148" s="43"/>
      <c r="C148" s="43"/>
      <c r="D148" s="167">
        <v>801945</v>
      </c>
      <c r="E148" s="167"/>
      <c r="F148" s="43"/>
      <c r="G148" s="42"/>
      <c r="H148" s="42"/>
      <c r="I148" s="42"/>
    </row>
    <row r="149" spans="1:9" ht="14.25">
      <c r="A149" s="43" t="s">
        <v>131</v>
      </c>
      <c r="B149" s="43"/>
      <c r="C149" s="43"/>
      <c r="D149" s="167">
        <v>875000</v>
      </c>
      <c r="E149" s="167"/>
      <c r="F149" s="43"/>
      <c r="G149" s="42"/>
      <c r="H149" s="42"/>
      <c r="I149" s="42"/>
    </row>
    <row r="150" spans="1:9" ht="14.25">
      <c r="A150" s="43" t="s">
        <v>15</v>
      </c>
      <c r="B150" s="43"/>
      <c r="C150" s="43"/>
      <c r="D150" s="206">
        <f>SUM(D146:D149)</f>
        <v>2176945</v>
      </c>
      <c r="E150" s="206"/>
      <c r="F150" s="43"/>
      <c r="G150" s="42"/>
      <c r="H150" s="42"/>
      <c r="I150" s="42"/>
    </row>
    <row r="151" spans="1:9" ht="14.25">
      <c r="A151" s="43"/>
      <c r="B151" s="43"/>
      <c r="C151" s="43"/>
      <c r="D151" s="167"/>
      <c r="E151" s="167"/>
      <c r="F151" s="43"/>
      <c r="G151" s="42"/>
      <c r="H151" s="42"/>
      <c r="I151" s="42"/>
    </row>
    <row r="152" spans="1:9" ht="14.25">
      <c r="A152" s="43"/>
      <c r="B152" s="43"/>
      <c r="C152" s="43"/>
      <c r="D152" s="167"/>
      <c r="E152" s="167"/>
      <c r="F152" s="43"/>
      <c r="G152" s="42"/>
      <c r="H152" s="42"/>
      <c r="I152" s="42"/>
    </row>
    <row r="153" spans="1:9" ht="14.25">
      <c r="A153" s="43"/>
      <c r="B153" s="43"/>
      <c r="C153" s="43"/>
      <c r="D153" s="167"/>
      <c r="E153" s="167"/>
      <c r="F153" s="43"/>
      <c r="G153" s="42"/>
      <c r="H153" s="42"/>
      <c r="I153" s="42"/>
    </row>
    <row r="154" spans="1:9" ht="12.75">
      <c r="A154" s="43"/>
      <c r="B154" s="43"/>
      <c r="C154" s="43"/>
      <c r="D154" s="43"/>
      <c r="E154" s="43"/>
      <c r="F154" s="43"/>
      <c r="G154" s="42"/>
      <c r="H154" s="42"/>
      <c r="I154" s="42"/>
    </row>
    <row r="155" spans="1:9" ht="12.75">
      <c r="A155" s="43"/>
      <c r="B155" s="43"/>
      <c r="C155" s="43"/>
      <c r="D155" s="43"/>
      <c r="E155" s="43"/>
      <c r="F155" s="43"/>
      <c r="G155" s="42"/>
      <c r="H155" s="42"/>
      <c r="I155" s="42"/>
    </row>
    <row r="156" spans="1:9" ht="12.75">
      <c r="A156" s="43"/>
      <c r="B156" s="43" t="s">
        <v>51</v>
      </c>
      <c r="C156" s="42"/>
      <c r="D156" s="42"/>
      <c r="E156" s="42"/>
      <c r="F156" s="43"/>
      <c r="G156" s="42"/>
      <c r="H156" s="42"/>
      <c r="I156" s="42"/>
    </row>
    <row r="157" spans="1:9" ht="12.75">
      <c r="A157" s="42"/>
      <c r="B157" s="43"/>
      <c r="C157" s="42"/>
      <c r="D157" s="42"/>
      <c r="E157" s="42"/>
      <c r="F157" s="54"/>
      <c r="G157" s="42"/>
      <c r="H157" s="42"/>
      <c r="I157" s="42"/>
    </row>
    <row r="158" spans="1:9" ht="12.75">
      <c r="A158" s="42"/>
      <c r="B158" s="43"/>
      <c r="C158" s="42"/>
      <c r="D158" s="42"/>
      <c r="E158" s="42"/>
      <c r="F158" s="54"/>
      <c r="G158" s="42"/>
      <c r="H158" s="42"/>
      <c r="I158" s="42"/>
    </row>
    <row r="159" spans="1:9" ht="12.75">
      <c r="A159" s="42" t="s">
        <v>215</v>
      </c>
      <c r="B159" s="283">
        <v>371795</v>
      </c>
      <c r="C159" s="42"/>
      <c r="D159" s="42"/>
      <c r="E159" s="42"/>
      <c r="F159" s="54"/>
      <c r="G159" s="42"/>
      <c r="H159" s="42"/>
      <c r="I159" s="42"/>
    </row>
    <row r="160" spans="1:9" ht="14.25">
      <c r="A160" s="41"/>
      <c r="B160" s="41"/>
      <c r="C160" s="41"/>
      <c r="D160" s="41"/>
      <c r="E160" s="41"/>
      <c r="F160" s="41"/>
      <c r="G160" s="42"/>
      <c r="H160" s="42"/>
      <c r="I160" s="42"/>
    </row>
    <row r="161" spans="1:9" ht="14.25">
      <c r="A161" s="42"/>
      <c r="B161" s="42"/>
      <c r="C161" s="43"/>
      <c r="D161" s="199"/>
      <c r="E161" s="199"/>
      <c r="F161" s="45"/>
      <c r="G161" s="12"/>
      <c r="H161" s="12"/>
      <c r="I161" s="12"/>
    </row>
    <row r="162" spans="1:9" ht="14.25">
      <c r="A162" s="42"/>
      <c r="B162" s="42"/>
      <c r="C162" s="43"/>
      <c r="D162" s="199"/>
      <c r="E162" s="199"/>
      <c r="F162" s="39"/>
      <c r="G162" s="12"/>
      <c r="H162" s="12"/>
      <c r="I162" s="12"/>
    </row>
    <row r="163" spans="1:9" ht="14.25">
      <c r="A163" s="42"/>
      <c r="B163" s="42"/>
      <c r="C163" s="56"/>
      <c r="D163" s="192"/>
      <c r="E163" s="192"/>
      <c r="F163" s="39"/>
      <c r="G163" s="12"/>
      <c r="H163" s="12"/>
      <c r="I163" s="12"/>
    </row>
    <row r="164" spans="1:9" ht="12.75">
      <c r="A164" s="42"/>
      <c r="B164" s="42"/>
      <c r="C164" s="42"/>
      <c r="D164" s="200"/>
      <c r="E164" s="200"/>
      <c r="F164" s="39"/>
      <c r="G164" s="12"/>
      <c r="H164" s="12"/>
      <c r="I164" s="12"/>
    </row>
    <row r="165" spans="1:9" ht="14.25">
      <c r="A165" s="42"/>
      <c r="B165" s="42"/>
      <c r="C165" s="56"/>
      <c r="D165" s="192"/>
      <c r="E165" s="192"/>
      <c r="F165" s="192"/>
      <c r="G165" s="12"/>
      <c r="H165" s="12"/>
      <c r="I165" s="12"/>
    </row>
    <row r="166" spans="1:9" ht="14.25">
      <c r="A166" s="42"/>
      <c r="B166" s="42"/>
      <c r="C166" s="56"/>
      <c r="D166" s="192"/>
      <c r="E166" s="192"/>
      <c r="F166" s="192"/>
      <c r="G166" s="12"/>
      <c r="H166" s="12"/>
      <c r="I166" s="12"/>
    </row>
    <row r="167" spans="1:9" ht="12.75">
      <c r="A167" s="42"/>
      <c r="B167" s="43"/>
      <c r="C167" s="42"/>
      <c r="D167" s="42"/>
      <c r="E167" s="42"/>
      <c r="F167" s="54"/>
      <c r="G167" s="12"/>
      <c r="H167" s="12"/>
      <c r="I167" s="12"/>
    </row>
    <row r="168" spans="1:9" ht="12.75">
      <c r="A168" s="42"/>
      <c r="B168" s="43"/>
      <c r="C168" s="42"/>
      <c r="D168" s="42"/>
      <c r="E168" s="42"/>
      <c r="F168" s="54"/>
      <c r="G168" s="12"/>
      <c r="H168" s="12"/>
      <c r="I168" s="12"/>
    </row>
    <row r="169" spans="1:9" ht="12.75">
      <c r="A169" s="42"/>
      <c r="B169" s="43"/>
      <c r="C169" s="42"/>
      <c r="D169" s="42"/>
      <c r="E169" s="42"/>
      <c r="F169" s="54"/>
      <c r="G169" s="12"/>
      <c r="H169" s="12"/>
      <c r="I169" s="12"/>
    </row>
    <row r="170" spans="1:9" ht="12.75">
      <c r="A170" s="42"/>
      <c r="B170" s="43"/>
      <c r="C170" s="42"/>
      <c r="D170" s="176"/>
      <c r="E170" s="176"/>
      <c r="F170" s="54"/>
      <c r="G170" s="12"/>
      <c r="H170" s="12"/>
      <c r="I170" s="12"/>
    </row>
    <row r="171" spans="1:9" ht="12.75">
      <c r="A171" s="42"/>
      <c r="B171" s="43"/>
      <c r="C171" s="42"/>
      <c r="D171" s="42"/>
      <c r="E171" s="42"/>
      <c r="F171" s="54"/>
      <c r="G171" s="12"/>
      <c r="H171" s="12"/>
      <c r="I171" s="12"/>
    </row>
    <row r="172" spans="1:9" ht="12.75">
      <c r="A172" s="42"/>
      <c r="B172" s="43"/>
      <c r="C172" s="42"/>
      <c r="D172" s="42"/>
      <c r="E172" s="42"/>
      <c r="F172" s="196"/>
      <c r="G172" s="12"/>
      <c r="H172" s="12"/>
      <c r="I172" s="12"/>
    </row>
    <row r="173" spans="1:9" ht="12.75">
      <c r="A173" s="42"/>
      <c r="B173" s="43"/>
      <c r="C173" s="42"/>
      <c r="D173" s="42"/>
      <c r="E173" s="42"/>
      <c r="F173" s="196"/>
      <c r="G173" s="12"/>
      <c r="H173" s="12"/>
      <c r="I173" s="12"/>
    </row>
    <row r="174" spans="1:9" ht="12.75">
      <c r="A174" s="42"/>
      <c r="B174" s="43"/>
      <c r="C174" s="42"/>
      <c r="D174" s="42"/>
      <c r="E174" s="42"/>
      <c r="F174" s="54"/>
      <c r="G174" s="12"/>
      <c r="H174" s="12"/>
      <c r="I174" s="12"/>
    </row>
    <row r="175" spans="1:9" ht="12.75">
      <c r="A175" s="42"/>
      <c r="B175" s="43"/>
      <c r="C175" s="42"/>
      <c r="D175" s="42"/>
      <c r="E175" s="42"/>
      <c r="F175" s="54"/>
      <c r="G175" s="42"/>
      <c r="H175" s="12"/>
      <c r="I175" s="12"/>
    </row>
    <row r="176" spans="1:9" ht="12.75">
      <c r="A176" s="42"/>
      <c r="B176" s="43"/>
      <c r="C176" s="42"/>
      <c r="D176" s="42"/>
      <c r="E176" s="42"/>
      <c r="F176" s="54"/>
      <c r="G176" s="42"/>
      <c r="H176" s="12"/>
      <c r="I176" s="12"/>
    </row>
    <row r="177" spans="1:9" ht="12.75">
      <c r="A177" s="42"/>
      <c r="B177" s="43"/>
      <c r="C177" s="42"/>
      <c r="D177" s="42"/>
      <c r="E177" s="42"/>
      <c r="F177" s="54"/>
      <c r="G177" s="12"/>
      <c r="H177" s="12"/>
      <c r="I177" s="12"/>
    </row>
    <row r="178" spans="1:9" ht="12.75">
      <c r="A178" s="42"/>
      <c r="B178" s="43"/>
      <c r="C178" s="42"/>
      <c r="D178" s="42"/>
      <c r="E178" s="42"/>
      <c r="F178" s="54"/>
      <c r="G178" s="12"/>
      <c r="H178" s="12"/>
      <c r="I178" s="12"/>
    </row>
    <row r="179" spans="1:9" ht="12.75">
      <c r="A179" s="42"/>
      <c r="B179" s="43"/>
      <c r="C179" s="42"/>
      <c r="D179" s="42"/>
      <c r="E179" s="42"/>
      <c r="F179" s="54"/>
      <c r="G179" s="12"/>
      <c r="H179" s="12"/>
      <c r="I179" s="12"/>
    </row>
    <row r="180" spans="1:9" ht="12.75">
      <c r="A180" s="48"/>
      <c r="B180" s="43"/>
      <c r="C180" s="42"/>
      <c r="D180" s="42"/>
      <c r="E180" s="42"/>
      <c r="F180" s="54"/>
      <c r="G180" s="12"/>
      <c r="H180" s="12"/>
      <c r="I180" s="12"/>
    </row>
    <row r="181" spans="1:9" ht="12.75">
      <c r="A181" s="48"/>
      <c r="B181" s="43"/>
      <c r="C181" s="42"/>
      <c r="D181" s="42"/>
      <c r="E181" s="42"/>
      <c r="F181" s="54"/>
      <c r="G181" s="12"/>
      <c r="H181" s="12"/>
      <c r="I181" s="12"/>
    </row>
    <row r="182" spans="1:9" ht="12.75">
      <c r="A182" s="42"/>
      <c r="B182" s="43"/>
      <c r="C182" s="42"/>
      <c r="D182" s="42"/>
      <c r="E182" s="42"/>
      <c r="F182" s="54"/>
      <c r="G182" s="12"/>
      <c r="H182" s="12"/>
      <c r="I182" s="12"/>
    </row>
    <row r="183" spans="1:9" ht="12.75">
      <c r="A183" s="42"/>
      <c r="B183" s="43"/>
      <c r="C183" s="42"/>
      <c r="D183" s="42"/>
      <c r="E183" s="42"/>
      <c r="F183" s="54"/>
      <c r="G183" s="12"/>
      <c r="H183" s="12"/>
      <c r="I183" s="12"/>
    </row>
    <row r="184" spans="1:9" ht="12.75">
      <c r="A184" s="12"/>
      <c r="B184" s="12"/>
      <c r="C184" s="12"/>
      <c r="D184" s="12"/>
      <c r="E184" s="12"/>
      <c r="F184" s="54"/>
      <c r="G184" s="236"/>
      <c r="H184" s="12"/>
      <c r="I184" s="12"/>
    </row>
    <row r="185" spans="1:9" ht="12.75">
      <c r="A185" s="12"/>
      <c r="B185" s="236"/>
      <c r="C185" s="12"/>
      <c r="D185" s="12"/>
      <c r="E185" s="12"/>
      <c r="F185" s="54"/>
      <c r="G185" s="12"/>
      <c r="H185" s="12"/>
      <c r="I185" s="12"/>
    </row>
    <row r="186" spans="1:9" ht="12.75">
      <c r="A186" s="12"/>
      <c r="B186" s="12"/>
      <c r="C186" s="12"/>
      <c r="D186" s="12"/>
      <c r="E186" s="12"/>
      <c r="F186" s="12"/>
      <c r="G186" s="12"/>
      <c r="H186" s="12"/>
      <c r="I186" s="12"/>
    </row>
    <row r="187" spans="1:9" ht="12.75">
      <c r="A187" s="12"/>
      <c r="B187" s="236"/>
      <c r="C187" s="12"/>
      <c r="D187" s="12"/>
      <c r="E187" s="12"/>
      <c r="F187" s="12"/>
      <c r="G187" s="12"/>
      <c r="H187" s="12"/>
      <c r="I187" s="12"/>
    </row>
    <row r="188" spans="1:9" ht="12.75">
      <c r="A188" s="241"/>
      <c r="B188" s="70"/>
      <c r="C188" s="70"/>
      <c r="D188" s="70"/>
      <c r="E188" s="70"/>
      <c r="F188" s="70"/>
      <c r="G188" s="70"/>
      <c r="H188" s="12"/>
      <c r="I188" s="12"/>
    </row>
    <row r="189" spans="1:9" ht="12.75">
      <c r="A189" s="241"/>
      <c r="B189" s="241"/>
      <c r="C189" s="241"/>
      <c r="D189" s="241"/>
      <c r="E189" s="241"/>
      <c r="F189" s="241"/>
      <c r="G189" s="241"/>
      <c r="H189" s="12"/>
      <c r="I189" s="12"/>
    </row>
    <row r="190" spans="1:9" ht="12.75">
      <c r="A190" s="241"/>
      <c r="B190" s="70"/>
      <c r="C190" s="70"/>
      <c r="D190" s="70"/>
      <c r="E190" s="70"/>
      <c r="F190" s="70"/>
      <c r="G190" s="70"/>
      <c r="H190" s="12"/>
      <c r="I190" s="12"/>
    </row>
    <row r="191" spans="1:9" ht="12.75">
      <c r="A191" s="241"/>
      <c r="B191" s="70"/>
      <c r="C191" s="70"/>
      <c r="D191" s="70"/>
      <c r="E191" s="70"/>
      <c r="F191" s="70"/>
      <c r="G191" s="70"/>
      <c r="H191" s="12"/>
      <c r="I191" s="12"/>
    </row>
    <row r="192" spans="1:9" ht="12.75">
      <c r="A192" s="241"/>
      <c r="B192" s="70"/>
      <c r="C192" s="70"/>
      <c r="D192" s="70"/>
      <c r="E192" s="70"/>
      <c r="F192" s="70"/>
      <c r="G192" s="70"/>
      <c r="H192" s="12"/>
      <c r="I192" s="12"/>
    </row>
    <row r="193" spans="1:9" ht="12.75">
      <c r="A193" s="241"/>
      <c r="B193" s="70"/>
      <c r="C193" s="70"/>
      <c r="D193" s="70"/>
      <c r="E193" s="70"/>
      <c r="F193" s="70"/>
      <c r="G193" s="70"/>
      <c r="H193" s="12"/>
      <c r="I193" s="12"/>
    </row>
    <row r="194" spans="1:9" ht="12.75">
      <c r="A194" s="12"/>
      <c r="B194" s="12"/>
      <c r="C194" s="12"/>
      <c r="D194" s="12"/>
      <c r="E194" s="12"/>
      <c r="F194" s="12"/>
      <c r="G194" s="12"/>
      <c r="H194" s="12"/>
      <c r="I194" s="12"/>
    </row>
    <row r="195" spans="1:9" ht="12.75">
      <c r="A195" s="12"/>
      <c r="B195" s="12"/>
      <c r="C195" s="12"/>
      <c r="D195" s="12"/>
      <c r="E195" s="12"/>
      <c r="F195" s="71"/>
      <c r="G195" s="71"/>
      <c r="H195" s="12"/>
      <c r="I195" s="12"/>
    </row>
    <row r="196" spans="1:6" ht="14.25">
      <c r="A196" s="1"/>
      <c r="B196" s="1"/>
      <c r="C196" s="1"/>
      <c r="D196" s="1"/>
      <c r="E196" s="1"/>
      <c r="F196" s="1"/>
    </row>
    <row r="197" spans="1:7" ht="14.25">
      <c r="A197" s="195"/>
      <c r="B197" s="1"/>
      <c r="C197" s="1"/>
      <c r="D197" s="2"/>
      <c r="E197" s="2"/>
      <c r="F197" s="2"/>
      <c r="G197" s="2"/>
    </row>
    <row r="198" spans="1:7" ht="14.25">
      <c r="A198" s="1"/>
      <c r="B198" s="1"/>
      <c r="C198" s="1"/>
      <c r="D198" s="2"/>
      <c r="E198" s="2"/>
      <c r="F198" s="2"/>
      <c r="G198" s="2"/>
    </row>
    <row r="199" spans="1:7" ht="14.25">
      <c r="A199" s="1"/>
      <c r="B199" s="1"/>
      <c r="C199" s="1"/>
      <c r="D199" s="2"/>
      <c r="E199" s="2"/>
      <c r="F199" s="2"/>
      <c r="G199" s="2"/>
    </row>
    <row r="200" spans="1:7" ht="14.25">
      <c r="A200" s="195"/>
      <c r="B200" s="1"/>
      <c r="C200" s="1"/>
      <c r="D200" s="2"/>
      <c r="E200" s="2"/>
      <c r="F200" s="2"/>
      <c r="G200" s="2"/>
    </row>
    <row r="201" spans="1:7" ht="14.25">
      <c r="A201" s="195"/>
      <c r="B201" s="1"/>
      <c r="C201" s="1"/>
      <c r="D201" s="2"/>
      <c r="E201" s="2"/>
      <c r="F201" s="2"/>
      <c r="G201" s="2"/>
    </row>
    <row r="202" spans="1:7" ht="14.25">
      <c r="A202" s="1"/>
      <c r="B202" s="1"/>
      <c r="C202" s="1"/>
      <c r="D202" s="2"/>
      <c r="E202" s="2"/>
      <c r="F202" s="2"/>
      <c r="G202" s="2"/>
    </row>
    <row r="203" spans="1:7" ht="14.25">
      <c r="A203" s="1"/>
      <c r="B203" s="1"/>
      <c r="C203" s="1"/>
      <c r="D203" s="2"/>
      <c r="E203" s="2"/>
      <c r="F203" s="2"/>
      <c r="G203" s="2"/>
    </row>
    <row r="204" spans="1:7" ht="14.25">
      <c r="A204" s="1"/>
      <c r="B204" s="1"/>
      <c r="C204" s="1"/>
      <c r="D204" s="2"/>
      <c r="E204" s="2"/>
      <c r="F204" s="2"/>
      <c r="G204" s="2"/>
    </row>
    <row r="205" spans="1:7" ht="14.25">
      <c r="A205" s="195"/>
      <c r="B205" s="1"/>
      <c r="C205" s="1"/>
      <c r="D205" s="2"/>
      <c r="E205" s="2"/>
      <c r="F205" s="2"/>
      <c r="G205" s="2"/>
    </row>
    <row r="206" spans="1:7" ht="14.25">
      <c r="A206" s="1"/>
      <c r="B206" s="1"/>
      <c r="C206" s="1"/>
      <c r="D206" s="2"/>
      <c r="E206" s="2"/>
      <c r="F206" s="2"/>
      <c r="G206" s="2"/>
    </row>
    <row r="207" spans="1:7" ht="14.25">
      <c r="A207" s="1"/>
      <c r="B207" s="1"/>
      <c r="C207" s="1"/>
      <c r="D207" s="1"/>
      <c r="E207" s="1"/>
      <c r="F207" s="1"/>
      <c r="G207" s="19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3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5">
      <c r="A215" s="1"/>
      <c r="B215" s="180"/>
      <c r="C215" s="180"/>
      <c r="D215" s="1"/>
      <c r="E215" s="1"/>
      <c r="F215" s="1"/>
    </row>
    <row r="216" spans="1:6" ht="14.25">
      <c r="A216" s="1"/>
      <c r="B216" s="32"/>
      <c r="C216" s="1"/>
      <c r="D216" s="1"/>
      <c r="E216" s="1"/>
      <c r="F216" s="1"/>
    </row>
    <row r="217" spans="1:6" ht="14.25">
      <c r="A217" s="1"/>
      <c r="B217" s="3"/>
      <c r="C217" s="1"/>
      <c r="D217" s="1"/>
      <c r="E217" s="1"/>
      <c r="F217" s="1"/>
    </row>
    <row r="218" spans="1:6" ht="14.25">
      <c r="A218" s="1"/>
      <c r="B218" s="3"/>
      <c r="C218" s="3"/>
      <c r="D218" s="3"/>
      <c r="E218" s="3"/>
      <c r="F218" s="1"/>
    </row>
    <row r="219" spans="1:6" ht="14.25">
      <c r="A219" s="1"/>
      <c r="B219" s="3"/>
      <c r="C219" s="181"/>
      <c r="D219" s="3"/>
      <c r="E219" s="3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4" spans="2:6" ht="14.25">
      <c r="B224" s="1"/>
      <c r="C224" s="1"/>
      <c r="D224" s="1"/>
      <c r="E224" s="1"/>
      <c r="F224" s="1"/>
    </row>
    <row r="229" spans="2:11" ht="12.75">
      <c r="B229" s="19">
        <f>SUM(B232:B236)</f>
        <v>1108319.5488</v>
      </c>
      <c r="D229" s="4" t="s">
        <v>107</v>
      </c>
      <c r="E229" s="4"/>
      <c r="I229" t="s">
        <v>118</v>
      </c>
      <c r="J229" t="s">
        <v>119</v>
      </c>
      <c r="K229" t="s">
        <v>120</v>
      </c>
    </row>
    <row r="230" spans="10:11" ht="12.75">
      <c r="J230">
        <v>12</v>
      </c>
      <c r="K230">
        <v>8611.04</v>
      </c>
    </row>
    <row r="232" spans="1:9" ht="12.75">
      <c r="A232" t="s">
        <v>95</v>
      </c>
      <c r="B232" s="19">
        <f>1.06*25480*12</f>
        <v>324105.60000000003</v>
      </c>
      <c r="C232" s="19">
        <f>B232/12/8611.04</f>
        <v>3.1365317081328157</v>
      </c>
      <c r="G232" t="s">
        <v>109</v>
      </c>
      <c r="I232">
        <f>25480*1.06*12*1.2145*1.25*1.1</f>
        <v>541236.0954000001</v>
      </c>
    </row>
    <row r="233" spans="1:9" ht="12.75">
      <c r="A233" t="s">
        <v>96</v>
      </c>
      <c r="B233" s="19">
        <f>1.06*21457.1*12</f>
        <v>272934.312</v>
      </c>
      <c r="C233" s="19">
        <f>B233/12/8611.04</f>
        <v>2.6413216057526148</v>
      </c>
      <c r="D233" s="19"/>
      <c r="E233" s="19"/>
      <c r="G233" t="s">
        <v>110</v>
      </c>
      <c r="I233">
        <f>6526.8*1.06*12*1.2145*1.25*1.1+21463.79*1.25*1.1+95692.68*1.25*1.1</f>
        <v>299729.853764</v>
      </c>
    </row>
    <row r="234" spans="1:12" ht="12.75">
      <c r="A234" t="s">
        <v>97</v>
      </c>
      <c r="B234" s="19">
        <f>1.06*22846.94*12</f>
        <v>290613.0768</v>
      </c>
      <c r="C234" s="19">
        <f>B234/12/8611.04</f>
        <v>2.8124078392389302</v>
      </c>
      <c r="F234" s="19">
        <f>C234*0.2</f>
        <v>0.562481567847786</v>
      </c>
      <c r="G234" s="19" t="s">
        <v>111</v>
      </c>
      <c r="I234">
        <f>21457.1*1.06*12*1.2145*1.25*1.1</f>
        <v>455783.2426455</v>
      </c>
      <c r="J234">
        <f>I234/12</f>
        <v>37981.936887125</v>
      </c>
      <c r="K234">
        <f>J234/K230</f>
        <v>4.410841999006507</v>
      </c>
      <c r="L234">
        <f>K234/1.18</f>
        <v>3.7380016940733114</v>
      </c>
    </row>
    <row r="235" spans="1:7" ht="12.75">
      <c r="A235" t="s">
        <v>98</v>
      </c>
      <c r="B235" s="19">
        <f>1.06*10819.2*12</f>
        <v>137620.22400000002</v>
      </c>
      <c r="C235" s="19"/>
      <c r="F235" s="19"/>
      <c r="G235" s="19" t="s">
        <v>112</v>
      </c>
    </row>
    <row r="236" spans="1:7" ht="12.75">
      <c r="A236" t="s">
        <v>99</v>
      </c>
      <c r="B236" s="19">
        <f>1.06*6528.8*12</f>
        <v>83046.33600000001</v>
      </c>
      <c r="C236" s="19"/>
      <c r="G236" s="19" t="s">
        <v>113</v>
      </c>
    </row>
    <row r="237" spans="2:7" ht="12.75">
      <c r="B237" s="19"/>
      <c r="C237" s="19"/>
      <c r="G237" s="19" t="s">
        <v>114</v>
      </c>
    </row>
    <row r="238" spans="2:7" ht="12.75">
      <c r="B238" s="19">
        <f>B235+B236+22095.08</f>
        <v>242761.64</v>
      </c>
      <c r="C238" s="19">
        <f>B238/12/8611.04</f>
        <v>2.349325594430715</v>
      </c>
      <c r="G238" s="19" t="s">
        <v>115</v>
      </c>
    </row>
    <row r="239" ht="12.75">
      <c r="G239" s="19" t="s">
        <v>116</v>
      </c>
    </row>
    <row r="240" spans="6:9" ht="12.75">
      <c r="F240">
        <f>3.14+3.14+2.14+1.31+2.38+5.29+1.09+0.26+1.41+0.56+1.88+0.52</f>
        <v>23.119999999999997</v>
      </c>
      <c r="G240" s="19" t="s">
        <v>117</v>
      </c>
      <c r="I240">
        <f>(31085.6+27048)*1.06*12*1.25*1.1</f>
        <v>1016756.6640000001</v>
      </c>
    </row>
    <row r="241" spans="4:7" ht="12.75">
      <c r="D241">
        <f>324105+324105+220762+135314+245931+381521+112632+26866+145699+57866+135609+37509</f>
        <v>2147919</v>
      </c>
      <c r="F241">
        <f>F240*12*8611.04</f>
        <v>2389046.9376</v>
      </c>
      <c r="G241" s="58"/>
    </row>
    <row r="242" ht="12.75">
      <c r="I242">
        <f>SUM(I232:I241)</f>
        <v>2313505.8558095004</v>
      </c>
    </row>
    <row r="244" spans="1:9" ht="12.75">
      <c r="A244" t="s">
        <v>96</v>
      </c>
      <c r="B244" t="s">
        <v>100</v>
      </c>
      <c r="I244">
        <f>2627157.05-I242</f>
        <v>313651.1941904994</v>
      </c>
    </row>
    <row r="245" ht="12.75">
      <c r="B245" t="s">
        <v>101</v>
      </c>
    </row>
    <row r="246" spans="1:6" ht="12.75">
      <c r="A246" s="16"/>
      <c r="B246" s="16" t="s">
        <v>102</v>
      </c>
      <c r="C246" s="16"/>
      <c r="D246" s="16"/>
      <c r="E246" s="16"/>
      <c r="F246" s="16"/>
    </row>
    <row r="247" spans="1:6" ht="12.75">
      <c r="A247" s="16" t="s">
        <v>103</v>
      </c>
      <c r="B247" s="16" t="s">
        <v>104</v>
      </c>
      <c r="C247" s="16"/>
      <c r="D247" s="16"/>
      <c r="E247" s="16"/>
      <c r="F247" s="16"/>
    </row>
    <row r="248" spans="1:6" ht="12.75">
      <c r="A248" s="16">
        <v>12</v>
      </c>
      <c r="B248" s="197" t="s">
        <v>105</v>
      </c>
      <c r="C248" s="16"/>
      <c r="D248" s="16"/>
      <c r="E248" s="16"/>
      <c r="F248" s="16"/>
    </row>
    <row r="249" spans="1:6" ht="12.75">
      <c r="A249" s="16">
        <v>14</v>
      </c>
      <c r="B249" s="16">
        <v>0.2</v>
      </c>
      <c r="C249" s="16"/>
      <c r="D249" s="16"/>
      <c r="E249" s="16"/>
      <c r="F249" s="16"/>
    </row>
    <row r="250" spans="1:6" ht="12.75">
      <c r="A250" s="16">
        <v>15</v>
      </c>
      <c r="B250" s="16">
        <v>0.1</v>
      </c>
      <c r="C250" s="16"/>
      <c r="D250" s="16"/>
      <c r="E250" s="16"/>
      <c r="F250" s="16"/>
    </row>
    <row r="251" spans="1:12" ht="12.75">
      <c r="A251" s="16">
        <v>17</v>
      </c>
      <c r="B251" s="16">
        <v>0.5</v>
      </c>
      <c r="C251" s="16"/>
      <c r="D251" s="16"/>
      <c r="E251" s="16"/>
      <c r="F251" s="16"/>
      <c r="I251">
        <v>8611.04</v>
      </c>
      <c r="K251" s="4" t="s">
        <v>122</v>
      </c>
      <c r="L251" s="4" t="s">
        <v>121</v>
      </c>
    </row>
    <row r="252" spans="1:14" ht="12.75">
      <c r="A252" s="16" t="s">
        <v>106</v>
      </c>
      <c r="B252" s="16"/>
      <c r="C252" s="16"/>
      <c r="D252" s="16"/>
      <c r="E252" s="16"/>
      <c r="F252" s="16"/>
      <c r="H252">
        <v>1</v>
      </c>
      <c r="I252">
        <v>8611.04</v>
      </c>
      <c r="J252">
        <v>12</v>
      </c>
      <c r="K252" s="25">
        <f aca="true" t="shared" si="0" ref="K252:K261">L252*J252*I252</f>
        <v>458796.2112000001</v>
      </c>
      <c r="L252">
        <v>4.44</v>
      </c>
      <c r="M252" s="19">
        <f aca="true" t="shared" si="1" ref="M252:M261">L252*1.18</f>
        <v>5.2392</v>
      </c>
      <c r="N252">
        <f aca="true" t="shared" si="2" ref="N252:N261">K252*1.18</f>
        <v>541379.5292160001</v>
      </c>
    </row>
    <row r="253" spans="1:14" ht="12.75">
      <c r="A253" s="16"/>
      <c r="B253" s="16"/>
      <c r="C253" s="16"/>
      <c r="D253" s="16"/>
      <c r="E253" s="16"/>
      <c r="F253" s="16"/>
      <c r="H253">
        <v>6</v>
      </c>
      <c r="I253">
        <v>8611.04</v>
      </c>
      <c r="J253">
        <v>12</v>
      </c>
      <c r="K253" s="25">
        <f t="shared" si="0"/>
        <v>254197.90080000003</v>
      </c>
      <c r="L253">
        <v>2.46</v>
      </c>
      <c r="M253" s="19">
        <f t="shared" si="1"/>
        <v>2.9027999999999996</v>
      </c>
      <c r="N253">
        <f t="shared" si="2"/>
        <v>299953.522944</v>
      </c>
    </row>
    <row r="254" spans="1:14" ht="12.75">
      <c r="A254" s="16"/>
      <c r="B254" s="16"/>
      <c r="C254" s="16"/>
      <c r="D254" s="16"/>
      <c r="E254" s="16"/>
      <c r="F254" s="16"/>
      <c r="H254">
        <v>9</v>
      </c>
      <c r="I254">
        <v>8611.04</v>
      </c>
      <c r="J254">
        <v>12</v>
      </c>
      <c r="K254" s="25">
        <f t="shared" si="0"/>
        <v>382330.1760000001</v>
      </c>
      <c r="L254" s="19">
        <v>3.7</v>
      </c>
      <c r="M254" s="19">
        <f t="shared" si="1"/>
        <v>4.366</v>
      </c>
      <c r="N254">
        <f t="shared" si="2"/>
        <v>451149.6076800001</v>
      </c>
    </row>
    <row r="255" spans="1:14" ht="12.75">
      <c r="A255" s="16"/>
      <c r="B255" s="16"/>
      <c r="C255" s="16"/>
      <c r="D255" s="16"/>
      <c r="E255" s="16"/>
      <c r="F255" s="16"/>
      <c r="H255">
        <v>10</v>
      </c>
      <c r="I255">
        <v>8611.04</v>
      </c>
      <c r="J255">
        <v>12</v>
      </c>
      <c r="K255" s="25">
        <f t="shared" si="0"/>
        <v>103332.48000000001</v>
      </c>
      <c r="L255" s="19">
        <v>1</v>
      </c>
      <c r="M255" s="19">
        <f t="shared" si="1"/>
        <v>1.18</v>
      </c>
      <c r="N255">
        <f t="shared" si="2"/>
        <v>121932.3264</v>
      </c>
    </row>
    <row r="256" spans="1:14" ht="12.75">
      <c r="A256" s="16"/>
      <c r="B256" s="16"/>
      <c r="C256" s="16"/>
      <c r="D256" s="16"/>
      <c r="E256" s="16"/>
      <c r="F256" s="16"/>
      <c r="H256">
        <v>11</v>
      </c>
      <c r="I256">
        <v>8611.04</v>
      </c>
      <c r="J256">
        <v>12</v>
      </c>
      <c r="K256" s="25">
        <f t="shared" si="0"/>
        <v>103332.48000000001</v>
      </c>
      <c r="L256" s="19">
        <v>1</v>
      </c>
      <c r="M256" s="19">
        <f t="shared" si="1"/>
        <v>1.18</v>
      </c>
      <c r="N256">
        <f t="shared" si="2"/>
        <v>121932.3264</v>
      </c>
    </row>
    <row r="257" spans="1:14" ht="12.75">
      <c r="A257" s="16"/>
      <c r="B257" s="16"/>
      <c r="C257" s="16"/>
      <c r="D257" s="16"/>
      <c r="E257" s="16"/>
      <c r="F257" s="16"/>
      <c r="H257">
        <v>12</v>
      </c>
      <c r="I257">
        <v>8611.04</v>
      </c>
      <c r="J257">
        <v>12</v>
      </c>
      <c r="K257" s="25">
        <f t="shared" si="0"/>
        <v>103332.48000000001</v>
      </c>
      <c r="L257" s="19">
        <v>1</v>
      </c>
      <c r="M257" s="19">
        <f t="shared" si="1"/>
        <v>1.18</v>
      </c>
      <c r="N257">
        <f t="shared" si="2"/>
        <v>121932.3264</v>
      </c>
    </row>
    <row r="258" spans="1:14" ht="12.75">
      <c r="A258" s="16"/>
      <c r="B258" s="16"/>
      <c r="C258" s="16"/>
      <c r="D258" s="16"/>
      <c r="E258" s="16"/>
      <c r="F258" s="16"/>
      <c r="H258">
        <v>13</v>
      </c>
      <c r="I258">
        <v>8611.04</v>
      </c>
      <c r="J258">
        <v>12</v>
      </c>
      <c r="K258" s="25">
        <f t="shared" si="0"/>
        <v>103332.48000000001</v>
      </c>
      <c r="L258" s="19">
        <v>1</v>
      </c>
      <c r="M258" s="19">
        <f t="shared" si="1"/>
        <v>1.18</v>
      </c>
      <c r="N258">
        <f t="shared" si="2"/>
        <v>121932.3264</v>
      </c>
    </row>
    <row r="259" spans="1:14" ht="12.75">
      <c r="A259" s="16"/>
      <c r="B259" s="16"/>
      <c r="C259" s="16"/>
      <c r="D259" s="16"/>
      <c r="E259" s="16"/>
      <c r="F259" s="16"/>
      <c r="H259">
        <v>15</v>
      </c>
      <c r="I259">
        <v>8611.04</v>
      </c>
      <c r="J259">
        <v>12</v>
      </c>
      <c r="K259" s="25">
        <f t="shared" si="0"/>
        <v>103332.48000000001</v>
      </c>
      <c r="L259" s="19">
        <v>1</v>
      </c>
      <c r="M259" s="19">
        <f t="shared" si="1"/>
        <v>1.18</v>
      </c>
      <c r="N259">
        <f t="shared" si="2"/>
        <v>121932.3264</v>
      </c>
    </row>
    <row r="260" spans="1:14" ht="12.75">
      <c r="A260" s="16"/>
      <c r="B260" s="16"/>
      <c r="C260" s="16"/>
      <c r="D260" s="16"/>
      <c r="E260" s="16"/>
      <c r="F260" s="16"/>
      <c r="H260">
        <v>16</v>
      </c>
      <c r="I260">
        <v>8611.04</v>
      </c>
      <c r="J260">
        <v>12</v>
      </c>
      <c r="K260" s="25">
        <f t="shared" si="0"/>
        <v>153965.3952</v>
      </c>
      <c r="L260">
        <v>1.49</v>
      </c>
      <c r="M260" s="19">
        <f t="shared" si="1"/>
        <v>1.7582</v>
      </c>
      <c r="N260">
        <f t="shared" si="2"/>
        <v>181679.166336</v>
      </c>
    </row>
    <row r="261" spans="1:14" ht="12.75">
      <c r="A261" s="16"/>
      <c r="B261" s="16"/>
      <c r="C261" s="16"/>
      <c r="D261" s="16"/>
      <c r="E261" s="16"/>
      <c r="F261" s="16"/>
      <c r="H261">
        <v>17</v>
      </c>
      <c r="I261">
        <v>8611.04</v>
      </c>
      <c r="J261">
        <v>12</v>
      </c>
      <c r="K261" s="25">
        <f t="shared" si="0"/>
        <v>860759.5584000002</v>
      </c>
      <c r="L261">
        <v>8.33</v>
      </c>
      <c r="M261" s="19">
        <f t="shared" si="1"/>
        <v>9.8294</v>
      </c>
      <c r="N261">
        <f t="shared" si="2"/>
        <v>1015696.2789120002</v>
      </c>
    </row>
    <row r="262" spans="1:14" ht="12.75">
      <c r="A262" s="16"/>
      <c r="B262" s="16"/>
      <c r="C262" s="16"/>
      <c r="D262" s="16"/>
      <c r="E262" s="16"/>
      <c r="F262" s="16"/>
      <c r="K262" s="26">
        <f>SUM(K252:K261)</f>
        <v>2626711.6416</v>
      </c>
      <c r="L262" s="15">
        <f>SUM(L252:L261)</f>
        <v>25.42</v>
      </c>
      <c r="M262" s="27">
        <f>SUM(M252:M261)</f>
        <v>29.995599999999996</v>
      </c>
      <c r="N262" s="15">
        <f>SUM(N252:N261)</f>
        <v>3099519.737088</v>
      </c>
    </row>
    <row r="263" spans="1:6" ht="12.75">
      <c r="A263" s="16"/>
      <c r="B263" s="16"/>
      <c r="C263" s="16"/>
      <c r="D263" s="16"/>
      <c r="E263" s="16"/>
      <c r="F263" s="16"/>
    </row>
    <row r="264" spans="1:12" ht="12.75">
      <c r="A264" s="16"/>
      <c r="B264" s="16"/>
      <c r="C264" s="16"/>
      <c r="D264" s="16"/>
      <c r="E264" s="16"/>
      <c r="F264" s="16"/>
      <c r="L264">
        <f>25.42-L262</f>
        <v>0</v>
      </c>
    </row>
    <row r="265" spans="1:6" ht="12.75">
      <c r="A265" s="16"/>
      <c r="B265" s="16"/>
      <c r="C265" s="16"/>
      <c r="D265" s="16"/>
      <c r="E265" s="16"/>
      <c r="F265" s="16"/>
    </row>
    <row r="266" spans="1:6" ht="12.75">
      <c r="A266" s="16"/>
      <c r="B266" s="16"/>
      <c r="C266" s="16"/>
      <c r="D266" s="16"/>
      <c r="E266" s="16"/>
      <c r="F266" s="16"/>
    </row>
    <row r="267" spans="1:6" ht="12.75">
      <c r="A267" s="16"/>
      <c r="B267" s="16"/>
      <c r="C267" s="16"/>
      <c r="D267" s="16"/>
      <c r="E267" s="16"/>
      <c r="F267" s="16"/>
    </row>
    <row r="268" spans="1:6" ht="12.75">
      <c r="A268" s="16"/>
      <c r="B268" s="16"/>
      <c r="C268" s="16"/>
      <c r="D268" s="16"/>
      <c r="E268" s="16"/>
      <c r="F268" s="16"/>
    </row>
    <row r="269" spans="1:6" ht="12.75">
      <c r="A269" s="16"/>
      <c r="B269" s="16"/>
      <c r="C269" s="16"/>
      <c r="D269" s="16"/>
      <c r="E269" s="16"/>
      <c r="F269" s="16"/>
    </row>
    <row r="270" spans="1:6" ht="12.75">
      <c r="A270" s="16"/>
      <c r="B270" s="16"/>
      <c r="C270" s="16"/>
      <c r="D270" s="16"/>
      <c r="E270" s="16"/>
      <c r="F270" s="16"/>
    </row>
    <row r="271" spans="1:6" ht="12.75">
      <c r="A271" s="16"/>
      <c r="B271" s="16"/>
      <c r="C271" s="16"/>
      <c r="D271" s="16"/>
      <c r="E271" s="16"/>
      <c r="F271" s="16"/>
    </row>
    <row r="272" spans="1:6" ht="12.75">
      <c r="A272" s="16"/>
      <c r="B272" s="16"/>
      <c r="C272" s="16"/>
      <c r="D272" s="16"/>
      <c r="E272" s="16"/>
      <c r="F272" s="16"/>
    </row>
    <row r="273" spans="1:6" ht="12.75">
      <c r="A273" s="16"/>
      <c r="B273" s="16"/>
      <c r="C273" s="16"/>
      <c r="D273" s="16"/>
      <c r="E273" s="16"/>
      <c r="F273" s="16"/>
    </row>
    <row r="274" spans="1:6" ht="12.75">
      <c r="A274" s="16"/>
      <c r="B274" s="16"/>
      <c r="C274" s="16"/>
      <c r="D274" s="16"/>
      <c r="E274" s="16"/>
      <c r="F274" s="16"/>
    </row>
    <row r="275" spans="1:6" ht="12.75">
      <c r="A275" s="16"/>
      <c r="B275" s="16"/>
      <c r="C275" s="16"/>
      <c r="D275" s="16"/>
      <c r="E275" s="16"/>
      <c r="F275" s="16"/>
    </row>
    <row r="303" ht="12.75">
      <c r="F303" s="16"/>
    </row>
    <row r="304" ht="12.75">
      <c r="F304" s="16"/>
    </row>
    <row r="305" ht="12.75">
      <c r="F305" s="16"/>
    </row>
    <row r="306" ht="12.75">
      <c r="F306" s="16"/>
    </row>
    <row r="307" ht="12.75">
      <c r="F307" s="16"/>
    </row>
    <row r="309" spans="1:6" ht="12.75">
      <c r="A309" s="16"/>
      <c r="B309" s="16"/>
      <c r="C309" s="16"/>
      <c r="D309" s="16"/>
      <c r="E309" s="16"/>
      <c r="F309" s="16"/>
    </row>
    <row r="310" spans="1:6" ht="12.75">
      <c r="A310" s="16"/>
      <c r="B310" s="16"/>
      <c r="C310" s="16"/>
      <c r="D310" s="16"/>
      <c r="E310" s="16"/>
      <c r="F310" s="16"/>
    </row>
    <row r="311" spans="1:6" ht="12.75">
      <c r="A311" s="16"/>
      <c r="B311" s="16"/>
      <c r="C311" s="16"/>
      <c r="D311" s="16"/>
      <c r="E311" s="16"/>
      <c r="F311" s="16"/>
    </row>
    <row r="312" spans="1:6" ht="12.75">
      <c r="A312" s="16"/>
      <c r="B312" s="16"/>
      <c r="C312" s="16"/>
      <c r="D312" s="16"/>
      <c r="E312" s="16"/>
      <c r="F312" s="16"/>
    </row>
    <row r="313" spans="1:6" ht="12.75">
      <c r="A313" s="16"/>
      <c r="B313" s="16"/>
      <c r="C313" s="16"/>
      <c r="D313" s="16"/>
      <c r="E313" s="16"/>
      <c r="F313" s="16"/>
    </row>
    <row r="314" spans="1:6" ht="12.75">
      <c r="A314" s="16"/>
      <c r="B314" s="16"/>
      <c r="C314" s="16"/>
      <c r="D314" s="16"/>
      <c r="E314" s="16"/>
      <c r="F314" s="16"/>
    </row>
    <row r="315" spans="1:6" ht="12.75">
      <c r="A315" s="16"/>
      <c r="B315" s="16"/>
      <c r="C315" s="16"/>
      <c r="D315" s="16"/>
      <c r="E315" s="16"/>
      <c r="F315" s="16"/>
    </row>
    <row r="316" spans="1:6" ht="12.75">
      <c r="A316" s="16"/>
      <c r="B316" s="16"/>
      <c r="C316" s="16"/>
      <c r="D316" s="16"/>
      <c r="E316" s="16"/>
      <c r="F316" s="16"/>
    </row>
    <row r="317" spans="1:6" ht="12.75">
      <c r="A317" s="16"/>
      <c r="B317" s="16"/>
      <c r="C317" s="16"/>
      <c r="D317" s="16"/>
      <c r="E317" s="16"/>
      <c r="F317" s="16"/>
    </row>
    <row r="318" spans="1:6" ht="12.75">
      <c r="A318" s="16"/>
      <c r="B318" s="16"/>
      <c r="C318" s="16"/>
      <c r="D318" s="16"/>
      <c r="E318" s="16"/>
      <c r="F318" s="16"/>
    </row>
    <row r="319" spans="1:6" ht="12.75">
      <c r="A319" s="16"/>
      <c r="B319" s="16"/>
      <c r="C319" s="16"/>
      <c r="D319" s="16"/>
      <c r="E319" s="16"/>
      <c r="F319" s="16"/>
    </row>
    <row r="320" spans="1:6" ht="12.75">
      <c r="A320" s="16"/>
      <c r="B320" s="16"/>
      <c r="C320" s="16"/>
      <c r="D320" s="16"/>
      <c r="E320" s="16"/>
      <c r="F320" s="16"/>
    </row>
    <row r="321" spans="1:6" ht="12.75">
      <c r="A321" s="16"/>
      <c r="B321" s="16"/>
      <c r="C321" s="16"/>
      <c r="D321" s="16"/>
      <c r="E321" s="16"/>
      <c r="F321" s="16"/>
    </row>
    <row r="322" spans="1:6" ht="12.75">
      <c r="A322" s="16"/>
      <c r="B322" s="16"/>
      <c r="C322" s="16"/>
      <c r="D322" s="16"/>
      <c r="E322" s="16"/>
      <c r="F322" s="16"/>
    </row>
    <row r="323" spans="1:6" ht="12.75">
      <c r="A323" s="16"/>
      <c r="B323" s="16"/>
      <c r="C323" s="16"/>
      <c r="D323" s="16"/>
      <c r="E323" s="16"/>
      <c r="F323" s="16"/>
    </row>
    <row r="326" spans="2:5" ht="12.75">
      <c r="B326" s="16"/>
      <c r="C326" s="16"/>
      <c r="D326" s="16"/>
      <c r="E326" s="16"/>
    </row>
    <row r="362" spans="3:5" ht="12.75">
      <c r="C362" s="57"/>
      <c r="D362" s="57"/>
      <c r="E362" s="57"/>
    </row>
    <row r="363" spans="3:5" ht="12.75">
      <c r="C363" s="4"/>
      <c r="D363" s="4"/>
      <c r="E363" s="4"/>
    </row>
    <row r="364" spans="3:5" ht="12.75">
      <c r="C364" s="4"/>
      <c r="D364" s="4"/>
      <c r="E364" s="4"/>
    </row>
    <row r="365" spans="3:5" ht="12.75">
      <c r="C365" s="4"/>
      <c r="D365" s="4"/>
      <c r="E365" s="4"/>
    </row>
    <row r="366" spans="3:5" ht="12.75">
      <c r="C366" s="4"/>
      <c r="D366" s="4"/>
      <c r="E366" s="4"/>
    </row>
    <row r="367" spans="3:5" ht="12.75">
      <c r="C367" s="4"/>
      <c r="D367" s="4"/>
      <c r="E367" s="4"/>
    </row>
    <row r="368" spans="3:5" ht="12.75">
      <c r="C368" s="4"/>
      <c r="D368" s="4"/>
      <c r="E368" s="4"/>
    </row>
    <row r="369" spans="3:5" ht="12.75">
      <c r="C369" s="4"/>
      <c r="D369" s="4"/>
      <c r="E369" s="4"/>
    </row>
    <row r="370" spans="3:5" ht="12.75">
      <c r="C370" s="4"/>
      <c r="D370" s="4"/>
      <c r="E370" s="4"/>
    </row>
    <row r="371" spans="3:5" ht="12.75">
      <c r="C371" s="4"/>
      <c r="D371" s="4"/>
      <c r="E371" s="4"/>
    </row>
    <row r="372" spans="3:5" ht="12.75">
      <c r="C372" s="4"/>
      <c r="D372" s="4"/>
      <c r="E372" s="4"/>
    </row>
    <row r="373" spans="3:5" ht="12.75">
      <c r="C373" s="4"/>
      <c r="D373" s="4"/>
      <c r="E373" s="4"/>
    </row>
    <row r="374" spans="3:5" ht="12.75">
      <c r="C374" s="4"/>
      <c r="D374" s="4"/>
      <c r="E374" s="4"/>
    </row>
    <row r="375" spans="3:5" ht="12.75">
      <c r="C375" s="4"/>
      <c r="D375" s="4"/>
      <c r="E375" s="4"/>
    </row>
    <row r="376" spans="3:5" ht="12.75">
      <c r="C376" s="4"/>
      <c r="D376" s="4"/>
      <c r="E376" s="4"/>
    </row>
    <row r="378" spans="3:6" ht="12.75">
      <c r="C378" s="4"/>
      <c r="D378" s="4"/>
      <c r="E378" s="4"/>
      <c r="F378" s="28"/>
    </row>
    <row r="379" spans="3:5" ht="12.75">
      <c r="C379" s="4"/>
      <c r="D379" s="4"/>
      <c r="E379" s="4"/>
    </row>
    <row r="380" spans="3:5" ht="12.75">
      <c r="C380" s="4"/>
      <c r="D380" s="4"/>
      <c r="E380" s="4"/>
    </row>
    <row r="383" spans="3:5" ht="12.75">
      <c r="C383" s="58"/>
      <c r="D383" s="58"/>
      <c r="E383" s="58"/>
    </row>
    <row r="384" spans="3:5" ht="12.75">
      <c r="C384" s="58"/>
      <c r="D384" s="58"/>
      <c r="E384" s="58"/>
    </row>
    <row r="390" spans="3:5" ht="12.75">
      <c r="C390" s="57"/>
      <c r="D390" s="57"/>
      <c r="E390" s="57"/>
    </row>
    <row r="391" spans="3:5" ht="12.75">
      <c r="C391" s="4"/>
      <c r="D391" s="4"/>
      <c r="E391" s="4"/>
    </row>
    <row r="392" spans="3:5" ht="12.75">
      <c r="C392" s="4"/>
      <c r="D392" s="4"/>
      <c r="E392" s="4"/>
    </row>
    <row r="393" spans="3:5" ht="12.75">
      <c r="C393" s="4"/>
      <c r="D393" s="4"/>
      <c r="E393" s="4"/>
    </row>
    <row r="394" spans="3:5" ht="12.75">
      <c r="C394" s="4"/>
      <c r="D394" s="4"/>
      <c r="E394" s="4"/>
    </row>
    <row r="395" spans="3:5" ht="12.75">
      <c r="C395" s="4"/>
      <c r="D395" s="4"/>
      <c r="E395" s="4"/>
    </row>
    <row r="396" spans="3:5" ht="12.75">
      <c r="C396" s="4"/>
      <c r="D396" s="4"/>
      <c r="E396" s="4"/>
    </row>
    <row r="397" spans="3:5" ht="12.75">
      <c r="C397" s="4"/>
      <c r="D397" s="4"/>
      <c r="E397" s="4"/>
    </row>
    <row r="398" spans="3:5" ht="12.75">
      <c r="C398" s="4"/>
      <c r="D398" s="4"/>
      <c r="E398" s="4"/>
    </row>
    <row r="399" spans="3:5" ht="12.75">
      <c r="C399" s="4"/>
      <c r="D399" s="4"/>
      <c r="E399" s="4"/>
    </row>
    <row r="400" spans="3:5" ht="12.75">
      <c r="C400" s="4"/>
      <c r="D400" s="4"/>
      <c r="E400" s="4"/>
    </row>
    <row r="401" spans="3:5" ht="12.75">
      <c r="C401" s="4"/>
      <c r="D401" s="4"/>
      <c r="E401" s="4"/>
    </row>
    <row r="402" spans="3:5" ht="12.75">
      <c r="C402" s="4"/>
      <c r="D402" s="4"/>
      <c r="E402" s="4"/>
    </row>
    <row r="403" spans="3:5" ht="12.75">
      <c r="C403" s="4"/>
      <c r="D403" s="4"/>
      <c r="E403" s="4"/>
    </row>
    <row r="404" spans="3:5" ht="12.75">
      <c r="C404" s="4"/>
      <c r="D404" s="4"/>
      <c r="E404" s="4"/>
    </row>
  </sheetData>
  <sheetProtection/>
  <printOptions/>
  <pageMargins left="0.82" right="0.19" top="1" bottom="0.38" header="0.5" footer="0.17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2.7109375" style="0" customWidth="1"/>
    <col min="2" max="2" width="18.57421875" style="0" customWidth="1"/>
    <col min="3" max="4" width="18.7109375" style="0" customWidth="1"/>
    <col min="5" max="6" width="20.7109375" style="0" customWidth="1"/>
    <col min="7" max="7" width="18.8515625" style="0" customWidth="1"/>
  </cols>
  <sheetData>
    <row r="1" ht="9.75" customHeight="1"/>
    <row r="2" spans="1:7" ht="15">
      <c r="A2" s="1"/>
      <c r="B2" s="136" t="s">
        <v>461</v>
      </c>
      <c r="C2" s="1"/>
      <c r="D2" s="1"/>
      <c r="E2" s="1"/>
      <c r="F2" s="1"/>
      <c r="G2" s="1"/>
    </row>
    <row r="3" spans="1:7" ht="15">
      <c r="A3" s="1"/>
      <c r="B3" s="136"/>
      <c r="C3" s="577" t="s">
        <v>462</v>
      </c>
      <c r="D3" s="577"/>
      <c r="E3" s="1"/>
      <c r="F3" s="578" t="s">
        <v>407</v>
      </c>
      <c r="G3" s="578"/>
    </row>
    <row r="4" spans="1:7" ht="14.25">
      <c r="A4" s="137"/>
      <c r="B4" s="138"/>
      <c r="C4" s="139"/>
      <c r="D4" s="139"/>
      <c r="E4" s="140"/>
      <c r="F4" s="139"/>
      <c r="G4" s="501"/>
    </row>
    <row r="5" spans="1:7" ht="15">
      <c r="A5" s="141" t="s">
        <v>56</v>
      </c>
      <c r="B5" s="517" t="s">
        <v>410</v>
      </c>
      <c r="C5" s="579" t="s">
        <v>55</v>
      </c>
      <c r="D5" s="579"/>
      <c r="E5" s="580" t="s">
        <v>63</v>
      </c>
      <c r="F5" s="579"/>
      <c r="G5" s="141" t="s">
        <v>406</v>
      </c>
    </row>
    <row r="6" spans="1:7" ht="14.25">
      <c r="A6" s="143"/>
      <c r="B6" s="518" t="s">
        <v>411</v>
      </c>
      <c r="C6" s="144"/>
      <c r="D6" s="144"/>
      <c r="E6" s="145"/>
      <c r="F6" s="507"/>
      <c r="G6" s="143"/>
    </row>
    <row r="7" spans="1:7" ht="14.25">
      <c r="A7" s="143"/>
      <c r="B7" s="518" t="s">
        <v>412</v>
      </c>
      <c r="C7" s="147"/>
      <c r="D7" s="148"/>
      <c r="E7" s="140"/>
      <c r="F7" s="140"/>
      <c r="G7" s="143"/>
    </row>
    <row r="8" spans="1:7" ht="15">
      <c r="A8" s="149"/>
      <c r="B8" s="519"/>
      <c r="C8" s="150" t="s">
        <v>52</v>
      </c>
      <c r="D8" s="151" t="s">
        <v>53</v>
      </c>
      <c r="E8" s="152" t="s">
        <v>52</v>
      </c>
      <c r="F8" s="152" t="s">
        <v>53</v>
      </c>
      <c r="G8" s="149"/>
    </row>
    <row r="9" spans="1:7" ht="14.25">
      <c r="A9" s="140"/>
      <c r="B9" s="137"/>
      <c r="C9" s="139"/>
      <c r="D9" s="137"/>
      <c r="E9" s="139"/>
      <c r="F9" s="137"/>
      <c r="G9" s="504" t="s">
        <v>398</v>
      </c>
    </row>
    <row r="10" spans="1:7" ht="15">
      <c r="A10" s="514" t="s">
        <v>2</v>
      </c>
      <c r="B10" s="141" t="s">
        <v>413</v>
      </c>
      <c r="C10" s="182">
        <f>D10/1.18</f>
        <v>1.8898305084745763</v>
      </c>
      <c r="D10" s="183">
        <v>2.23</v>
      </c>
      <c r="E10" s="182">
        <v>17.25</v>
      </c>
      <c r="F10" s="183">
        <f>E10*1.18</f>
        <v>20.355</v>
      </c>
      <c r="G10" s="520" t="s">
        <v>463</v>
      </c>
    </row>
    <row r="11" spans="1:7" ht="15">
      <c r="A11" s="514"/>
      <c r="B11" s="141"/>
      <c r="C11" s="182"/>
      <c r="D11" s="183"/>
      <c r="E11" s="550" t="s">
        <v>495</v>
      </c>
      <c r="F11" s="183"/>
      <c r="G11" s="520" t="s">
        <v>464</v>
      </c>
    </row>
    <row r="12" spans="1:7" ht="15">
      <c r="A12" s="514"/>
      <c r="B12" s="141"/>
      <c r="C12" s="182"/>
      <c r="D12" s="183"/>
      <c r="E12" s="182">
        <v>27.53</v>
      </c>
      <c r="F12" s="183"/>
      <c r="G12" s="520"/>
    </row>
    <row r="13" spans="1:7" ht="15">
      <c r="A13" s="515"/>
      <c r="B13" s="156"/>
      <c r="C13" s="184"/>
      <c r="D13" s="185"/>
      <c r="E13" s="184"/>
      <c r="F13" s="185"/>
      <c r="G13" s="521" t="s">
        <v>398</v>
      </c>
    </row>
    <row r="14" spans="1:7" ht="15">
      <c r="A14" s="514" t="s">
        <v>69</v>
      </c>
      <c r="B14" s="141" t="s">
        <v>58</v>
      </c>
      <c r="C14" s="182">
        <f>D14/1.18</f>
        <v>932.2033898305085</v>
      </c>
      <c r="D14" s="183">
        <v>1100</v>
      </c>
      <c r="E14" s="182">
        <v>12273</v>
      </c>
      <c r="F14" s="183">
        <f>E14*1.18</f>
        <v>14482.14</v>
      </c>
      <c r="G14" s="520" t="s">
        <v>466</v>
      </c>
    </row>
    <row r="15" spans="1:7" ht="15">
      <c r="A15" s="514"/>
      <c r="B15" s="160" t="s">
        <v>409</v>
      </c>
      <c r="C15" s="182"/>
      <c r="D15" s="183"/>
      <c r="E15" s="182"/>
      <c r="F15" s="183"/>
      <c r="G15" s="502"/>
    </row>
    <row r="16" spans="1:7" ht="15">
      <c r="A16" s="514"/>
      <c r="B16" s="141" t="s">
        <v>57</v>
      </c>
      <c r="C16" s="182">
        <f>D16/1.18</f>
        <v>37.28813559322034</v>
      </c>
      <c r="D16" s="183">
        <f>D14*0.04</f>
        <v>44</v>
      </c>
      <c r="E16" s="182"/>
      <c r="F16" s="183"/>
      <c r="G16" s="506"/>
    </row>
    <row r="17" spans="1:7" ht="15">
      <c r="A17" s="515"/>
      <c r="B17" s="156"/>
      <c r="C17" s="184"/>
      <c r="D17" s="185"/>
      <c r="E17" s="184"/>
      <c r="F17" s="185"/>
      <c r="G17" s="505" t="s">
        <v>398</v>
      </c>
    </row>
    <row r="18" spans="1:7" ht="15">
      <c r="A18" s="514" t="s">
        <v>16</v>
      </c>
      <c r="B18" s="141" t="s">
        <v>65</v>
      </c>
      <c r="C18" s="182">
        <f>D18/1.18</f>
        <v>114.40677966101696</v>
      </c>
      <c r="D18" s="183">
        <v>135</v>
      </c>
      <c r="E18" s="182">
        <v>557</v>
      </c>
      <c r="F18" s="183">
        <f>E18*1.18</f>
        <v>657.26</v>
      </c>
      <c r="G18" s="502" t="s">
        <v>465</v>
      </c>
    </row>
    <row r="19" spans="1:7" ht="15">
      <c r="A19" s="514"/>
      <c r="B19" s="159"/>
      <c r="C19" s="182"/>
      <c r="D19" s="183"/>
      <c r="E19" s="182"/>
      <c r="F19" s="183"/>
      <c r="G19" s="502"/>
    </row>
    <row r="20" spans="1:7" ht="15">
      <c r="A20" s="514"/>
      <c r="B20" s="160" t="s">
        <v>54</v>
      </c>
      <c r="C20" s="182">
        <f>D20/1.18</f>
        <v>434.7457627118644</v>
      </c>
      <c r="D20" s="183">
        <f>D18*3.8</f>
        <v>513</v>
      </c>
      <c r="E20" s="182"/>
      <c r="F20" s="183"/>
      <c r="G20" s="506"/>
    </row>
    <row r="21" spans="1:7" ht="14.25">
      <c r="A21" s="515"/>
      <c r="B21" s="156"/>
      <c r="C21" s="186"/>
      <c r="D21" s="187"/>
      <c r="E21" s="509"/>
      <c r="F21" s="510"/>
      <c r="G21" s="505" t="s">
        <v>398</v>
      </c>
    </row>
    <row r="22" spans="1:7" ht="15">
      <c r="A22" s="514" t="s">
        <v>467</v>
      </c>
      <c r="B22" s="141" t="s">
        <v>65</v>
      </c>
      <c r="C22" s="182">
        <f>D22/1.18</f>
        <v>114.40677966101696</v>
      </c>
      <c r="D22" s="183">
        <v>135</v>
      </c>
      <c r="E22" s="182">
        <v>557</v>
      </c>
      <c r="F22" s="183">
        <f>E22*1.18</f>
        <v>657.26</v>
      </c>
      <c r="G22" s="502" t="s">
        <v>468</v>
      </c>
    </row>
    <row r="23" spans="1:7" ht="15">
      <c r="A23" s="514" t="s">
        <v>475</v>
      </c>
      <c r="B23" s="159"/>
      <c r="C23" s="182"/>
      <c r="D23" s="183"/>
      <c r="E23" s="511"/>
      <c r="F23" s="512"/>
      <c r="G23" s="502"/>
    </row>
    <row r="24" spans="1:7" ht="15">
      <c r="A24" s="514"/>
      <c r="B24" s="160" t="s">
        <v>59</v>
      </c>
      <c r="C24" s="182">
        <f>D24/1.18</f>
        <v>173.89830508474577</v>
      </c>
      <c r="D24" s="183">
        <f>D22*1.52</f>
        <v>205.2</v>
      </c>
      <c r="E24" s="182"/>
      <c r="F24" s="191"/>
      <c r="G24" s="506"/>
    </row>
    <row r="25" spans="1:7" ht="15">
      <c r="A25" s="515"/>
      <c r="B25" s="156"/>
      <c r="C25" s="184"/>
      <c r="D25" s="185"/>
      <c r="E25" s="184"/>
      <c r="F25" s="185"/>
      <c r="G25" s="505" t="s">
        <v>398</v>
      </c>
    </row>
    <row r="26" spans="1:7" ht="15">
      <c r="A26" s="514" t="s">
        <v>17</v>
      </c>
      <c r="B26" s="141" t="s">
        <v>65</v>
      </c>
      <c r="C26" s="182">
        <v>170.34</v>
      </c>
      <c r="D26" s="183">
        <v>201</v>
      </c>
      <c r="E26" s="182">
        <v>1325.24</v>
      </c>
      <c r="F26" s="183">
        <f>E26*1.18</f>
        <v>1563.7831999999999</v>
      </c>
      <c r="G26" s="502" t="s">
        <v>400</v>
      </c>
    </row>
    <row r="27" spans="1:7" ht="15">
      <c r="A27" s="514" t="s">
        <v>494</v>
      </c>
      <c r="B27" s="159"/>
      <c r="C27" s="182"/>
      <c r="D27" s="183"/>
      <c r="E27" s="182"/>
      <c r="F27" s="183"/>
      <c r="G27" s="502"/>
    </row>
    <row r="28" spans="1:7" ht="15">
      <c r="A28" s="514"/>
      <c r="B28" s="160" t="s">
        <v>59</v>
      </c>
      <c r="C28" s="182">
        <f>D28/1.18</f>
        <v>258.91525423728814</v>
      </c>
      <c r="D28" s="183">
        <f>D26*1.52</f>
        <v>305.52</v>
      </c>
      <c r="E28" s="182"/>
      <c r="F28" s="183"/>
      <c r="G28" s="506"/>
    </row>
    <row r="29" spans="1:7" ht="15">
      <c r="A29" s="515"/>
      <c r="B29" s="156"/>
      <c r="C29" s="184"/>
      <c r="D29" s="185"/>
      <c r="E29" s="184"/>
      <c r="F29" s="185"/>
      <c r="G29" s="505" t="s">
        <v>398</v>
      </c>
    </row>
    <row r="30" spans="1:7" ht="15">
      <c r="A30" s="514" t="s">
        <v>11</v>
      </c>
      <c r="B30" s="141" t="s">
        <v>61</v>
      </c>
      <c r="C30" s="182">
        <f>D30/1.18</f>
        <v>11.88135593220339</v>
      </c>
      <c r="D30" s="183">
        <v>14.02</v>
      </c>
      <c r="E30" s="182">
        <v>11.88</v>
      </c>
      <c r="F30" s="183">
        <f>E30*1.18</f>
        <v>14.0184</v>
      </c>
      <c r="G30" s="502" t="s">
        <v>465</v>
      </c>
    </row>
    <row r="31" spans="1:7" ht="15">
      <c r="A31" s="514"/>
      <c r="B31" s="141"/>
      <c r="C31" s="182"/>
      <c r="D31" s="183"/>
      <c r="E31" s="182"/>
      <c r="F31" s="183"/>
      <c r="G31" s="502"/>
    </row>
    <row r="32" spans="1:7" ht="15">
      <c r="A32" s="516"/>
      <c r="B32" s="165" t="s">
        <v>66</v>
      </c>
      <c r="C32" s="182">
        <f>D32/1.18</f>
        <v>62.97118644067797</v>
      </c>
      <c r="D32" s="183">
        <f>D30*5.3</f>
        <v>74.306</v>
      </c>
      <c r="E32" s="190"/>
      <c r="F32" s="191"/>
      <c r="G32" s="503"/>
    </row>
    <row r="33" spans="1:7" ht="15">
      <c r="A33" s="140"/>
      <c r="B33" s="156"/>
      <c r="C33" s="170"/>
      <c r="D33" s="171"/>
      <c r="E33" s="170"/>
      <c r="F33" s="171"/>
      <c r="G33" s="505" t="s">
        <v>201</v>
      </c>
    </row>
    <row r="34" spans="1:7" ht="15">
      <c r="A34" s="514" t="s">
        <v>12</v>
      </c>
      <c r="B34" s="141" t="s">
        <v>68</v>
      </c>
      <c r="C34" s="182">
        <f>D34/1.18</f>
        <v>25.423728813559322</v>
      </c>
      <c r="D34" s="183">
        <v>30</v>
      </c>
      <c r="E34" s="168">
        <v>25.42</v>
      </c>
      <c r="F34" s="169">
        <v>30</v>
      </c>
      <c r="G34" s="502" t="s">
        <v>469</v>
      </c>
    </row>
    <row r="35" spans="1:7" ht="15">
      <c r="A35" s="514" t="s">
        <v>13</v>
      </c>
      <c r="B35" s="141"/>
      <c r="C35" s="168"/>
      <c r="D35" s="169"/>
      <c r="E35" s="168"/>
      <c r="F35" s="169"/>
      <c r="G35" s="504" t="s">
        <v>472</v>
      </c>
    </row>
    <row r="36" spans="1:7" ht="15">
      <c r="A36" s="140"/>
      <c r="B36" s="137"/>
      <c r="C36" s="174"/>
      <c r="D36" s="175"/>
      <c r="E36" s="174"/>
      <c r="F36" s="175"/>
      <c r="G36" s="505" t="s">
        <v>201</v>
      </c>
    </row>
    <row r="37" spans="1:7" ht="15">
      <c r="A37" s="153" t="s">
        <v>108</v>
      </c>
      <c r="B37" s="141" t="s">
        <v>57</v>
      </c>
      <c r="C37" s="182">
        <v>7.04</v>
      </c>
      <c r="D37" s="169"/>
      <c r="E37" s="168">
        <v>7.04</v>
      </c>
      <c r="F37" s="169"/>
      <c r="G37" s="502" t="s">
        <v>470</v>
      </c>
    </row>
    <row r="38" spans="1:7" ht="14.25">
      <c r="A38" s="145"/>
      <c r="B38" s="166"/>
      <c r="C38" s="162"/>
      <c r="D38" s="163"/>
      <c r="E38" s="162"/>
      <c r="F38" s="163"/>
      <c r="G38" s="508" t="s">
        <v>471</v>
      </c>
    </row>
    <row r="40" spans="1:7" ht="15">
      <c r="A40" s="1"/>
      <c r="B40" s="136" t="s">
        <v>461</v>
      </c>
      <c r="C40" s="1"/>
      <c r="D40" s="1"/>
      <c r="E40" s="1"/>
      <c r="F40" s="1"/>
      <c r="G40" s="1"/>
    </row>
    <row r="41" spans="1:7" ht="15">
      <c r="A41" s="1"/>
      <c r="B41" s="136"/>
      <c r="C41" s="587" t="s">
        <v>473</v>
      </c>
      <c r="D41" s="587"/>
      <c r="E41" s="1"/>
      <c r="F41" s="578" t="s">
        <v>407</v>
      </c>
      <c r="G41" s="578"/>
    </row>
    <row r="42" spans="1:7" ht="14.25">
      <c r="A42" s="137"/>
      <c r="B42" s="138"/>
      <c r="C42" s="139"/>
      <c r="D42" s="139"/>
      <c r="E42" s="140"/>
      <c r="F42" s="139"/>
      <c r="G42" s="501"/>
    </row>
    <row r="43" spans="1:7" ht="15">
      <c r="A43" s="141" t="s">
        <v>56</v>
      </c>
      <c r="B43" s="517" t="s">
        <v>410</v>
      </c>
      <c r="C43" s="579" t="s">
        <v>55</v>
      </c>
      <c r="D43" s="579"/>
      <c r="E43" s="580" t="s">
        <v>63</v>
      </c>
      <c r="F43" s="579"/>
      <c r="G43" s="141" t="s">
        <v>406</v>
      </c>
    </row>
    <row r="44" spans="1:7" ht="14.25">
      <c r="A44" s="143"/>
      <c r="B44" s="518" t="s">
        <v>411</v>
      </c>
      <c r="C44" s="144"/>
      <c r="D44" s="144"/>
      <c r="E44" s="145"/>
      <c r="F44" s="507"/>
      <c r="G44" s="143"/>
    </row>
    <row r="45" spans="1:7" ht="14.25">
      <c r="A45" s="143"/>
      <c r="B45" s="518" t="s">
        <v>412</v>
      </c>
      <c r="C45" s="147"/>
      <c r="D45" s="148"/>
      <c r="E45" s="140"/>
      <c r="F45" s="140"/>
      <c r="G45" s="143"/>
    </row>
    <row r="46" spans="1:7" ht="15">
      <c r="A46" s="149"/>
      <c r="B46" s="519"/>
      <c r="C46" s="150" t="s">
        <v>52</v>
      </c>
      <c r="D46" s="151" t="s">
        <v>53</v>
      </c>
      <c r="E46" s="152" t="s">
        <v>52</v>
      </c>
      <c r="F46" s="152" t="s">
        <v>53</v>
      </c>
      <c r="G46" s="149"/>
    </row>
    <row r="47" spans="1:7" ht="14.25">
      <c r="A47" s="140"/>
      <c r="B47" s="137"/>
      <c r="C47" s="139"/>
      <c r="D47" s="137"/>
      <c r="E47" s="139"/>
      <c r="F47" s="137"/>
      <c r="G47" s="504" t="s">
        <v>398</v>
      </c>
    </row>
    <row r="48" spans="1:7" ht="15">
      <c r="A48" s="514" t="s">
        <v>2</v>
      </c>
      <c r="B48" s="141" t="s">
        <v>413</v>
      </c>
      <c r="C48" s="182">
        <f>D48/1.18</f>
        <v>2</v>
      </c>
      <c r="D48" s="183">
        <v>2.36</v>
      </c>
      <c r="E48" s="182">
        <v>20</v>
      </c>
      <c r="F48" s="183">
        <f>E48*1.18</f>
        <v>23.599999999999998</v>
      </c>
      <c r="G48" s="520" t="s">
        <v>463</v>
      </c>
    </row>
    <row r="49" spans="1:7" ht="15">
      <c r="A49" s="514"/>
      <c r="B49" s="141"/>
      <c r="C49" s="182"/>
      <c r="D49" s="183"/>
      <c r="E49" s="550" t="s">
        <v>495</v>
      </c>
      <c r="F49" s="183"/>
      <c r="G49" s="520" t="s">
        <v>464</v>
      </c>
    </row>
    <row r="50" spans="1:7" ht="15">
      <c r="A50" s="514"/>
      <c r="B50" s="141"/>
      <c r="C50" s="182"/>
      <c r="D50" s="183"/>
      <c r="E50" s="549">
        <v>33.221</v>
      </c>
      <c r="F50" s="183"/>
      <c r="G50" s="520"/>
    </row>
    <row r="51" spans="1:7" ht="15">
      <c r="A51" s="515"/>
      <c r="B51" s="156"/>
      <c r="C51" s="184"/>
      <c r="D51" s="185"/>
      <c r="E51" s="184"/>
      <c r="F51" s="185"/>
      <c r="G51" s="521" t="s">
        <v>398</v>
      </c>
    </row>
    <row r="52" spans="1:7" ht="15">
      <c r="A52" s="514" t="s">
        <v>69</v>
      </c>
      <c r="B52" s="141" t="s">
        <v>58</v>
      </c>
      <c r="C52" s="182">
        <f>D52/1.18</f>
        <v>932.2033898305085</v>
      </c>
      <c r="D52" s="183">
        <v>1100</v>
      </c>
      <c r="E52" s="182">
        <v>12900</v>
      </c>
      <c r="F52" s="183">
        <f>E52*1.18</f>
        <v>15222</v>
      </c>
      <c r="G52" s="520" t="s">
        <v>466</v>
      </c>
    </row>
    <row r="53" spans="1:7" ht="15">
      <c r="A53" s="514"/>
      <c r="B53" s="160" t="s">
        <v>409</v>
      </c>
      <c r="C53" s="182"/>
      <c r="D53" s="183"/>
      <c r="E53" s="545"/>
      <c r="F53" s="183"/>
      <c r="G53" s="502"/>
    </row>
    <row r="54" spans="1:7" ht="15">
      <c r="A54" s="514"/>
      <c r="B54" s="141" t="s">
        <v>57</v>
      </c>
      <c r="C54" s="182">
        <f>D54/1.18</f>
        <v>37.28813559322034</v>
      </c>
      <c r="D54" s="183">
        <f>D52*0.04</f>
        <v>44</v>
      </c>
      <c r="E54" s="182"/>
      <c r="F54" s="183"/>
      <c r="G54" s="506"/>
    </row>
    <row r="55" spans="1:7" ht="15">
      <c r="A55" s="515"/>
      <c r="B55" s="156"/>
      <c r="C55" s="184"/>
      <c r="D55" s="185"/>
      <c r="E55" s="184"/>
      <c r="F55" s="185"/>
      <c r="G55" s="505" t="s">
        <v>398</v>
      </c>
    </row>
    <row r="56" spans="1:7" ht="15">
      <c r="A56" s="514" t="s">
        <v>16</v>
      </c>
      <c r="B56" s="141" t="s">
        <v>65</v>
      </c>
      <c r="C56" s="182">
        <f>D56/1.18</f>
        <v>127.11864406779662</v>
      </c>
      <c r="D56" s="183">
        <v>150</v>
      </c>
      <c r="E56" s="182">
        <v>590</v>
      </c>
      <c r="F56" s="183">
        <f>E56*1.18</f>
        <v>696.1999999999999</v>
      </c>
      <c r="G56" s="502" t="s">
        <v>465</v>
      </c>
    </row>
    <row r="57" spans="1:7" ht="15">
      <c r="A57" s="514"/>
      <c r="B57" s="159"/>
      <c r="C57" s="182"/>
      <c r="D57" s="183"/>
      <c r="E57" s="182"/>
      <c r="F57" s="183"/>
      <c r="G57" s="502"/>
    </row>
    <row r="58" spans="1:7" ht="15">
      <c r="A58" s="514"/>
      <c r="B58" s="160" t="s">
        <v>54</v>
      </c>
      <c r="C58" s="182">
        <f>D58/1.18</f>
        <v>483.0508474576271</v>
      </c>
      <c r="D58" s="183">
        <f>D56*3.8</f>
        <v>570</v>
      </c>
      <c r="E58" s="182"/>
      <c r="F58" s="183"/>
      <c r="G58" s="506"/>
    </row>
    <row r="59" spans="1:7" ht="14.25">
      <c r="A59" s="515"/>
      <c r="B59" s="156"/>
      <c r="C59" s="186"/>
      <c r="D59" s="187"/>
      <c r="E59" s="509"/>
      <c r="F59" s="510"/>
      <c r="G59" s="505" t="s">
        <v>398</v>
      </c>
    </row>
    <row r="60" spans="1:7" ht="15">
      <c r="A60" s="514" t="s">
        <v>467</v>
      </c>
      <c r="B60" s="141" t="s">
        <v>65</v>
      </c>
      <c r="C60" s="182">
        <f>D60/1.18</f>
        <v>127.11864406779662</v>
      </c>
      <c r="D60" s="183">
        <v>150</v>
      </c>
      <c r="E60" s="182">
        <v>590</v>
      </c>
      <c r="F60" s="183">
        <f>E60*1.18</f>
        <v>696.1999999999999</v>
      </c>
      <c r="G60" s="502" t="s">
        <v>468</v>
      </c>
    </row>
    <row r="61" spans="1:7" ht="15">
      <c r="A61" s="514" t="s">
        <v>475</v>
      </c>
      <c r="B61" s="159"/>
      <c r="C61" s="182"/>
      <c r="D61" s="183"/>
      <c r="E61" s="511"/>
      <c r="F61" s="512"/>
      <c r="G61" s="502"/>
    </row>
    <row r="62" spans="1:7" ht="15">
      <c r="A62" s="514"/>
      <c r="B62" s="160" t="s">
        <v>59</v>
      </c>
      <c r="C62" s="182">
        <f>D62/1.18</f>
        <v>193.22033898305085</v>
      </c>
      <c r="D62" s="183">
        <f>D60*1.52</f>
        <v>228</v>
      </c>
      <c r="E62" s="182"/>
      <c r="F62" s="191"/>
      <c r="G62" s="506"/>
    </row>
    <row r="63" spans="1:7" ht="15">
      <c r="A63" s="515"/>
      <c r="B63" s="156"/>
      <c r="C63" s="184"/>
      <c r="D63" s="185"/>
      <c r="E63" s="184"/>
      <c r="F63" s="185"/>
      <c r="G63" s="505" t="s">
        <v>398</v>
      </c>
    </row>
    <row r="64" spans="1:7" ht="15">
      <c r="A64" s="514" t="s">
        <v>11</v>
      </c>
      <c r="B64" s="141" t="s">
        <v>61</v>
      </c>
      <c r="C64" s="182">
        <f>D64/1.18</f>
        <v>12.59322033898305</v>
      </c>
      <c r="D64" s="183">
        <v>14.86</v>
      </c>
      <c r="E64" s="182">
        <v>12.59</v>
      </c>
      <c r="F64" s="183">
        <f>E64*1.18</f>
        <v>14.8562</v>
      </c>
      <c r="G64" s="502" t="s">
        <v>465</v>
      </c>
    </row>
    <row r="65" spans="1:7" ht="15">
      <c r="A65" s="514"/>
      <c r="B65" s="141"/>
      <c r="C65" s="182"/>
      <c r="D65" s="183"/>
      <c r="E65" s="182"/>
      <c r="F65" s="183"/>
      <c r="G65" s="502"/>
    </row>
    <row r="66" spans="1:7" ht="15">
      <c r="A66" s="516"/>
      <c r="B66" s="165" t="s">
        <v>66</v>
      </c>
      <c r="C66" s="182">
        <f>D66/1.18</f>
        <v>66.74406779661017</v>
      </c>
      <c r="D66" s="183">
        <f>D64*5.3</f>
        <v>78.758</v>
      </c>
      <c r="E66" s="190"/>
      <c r="F66" s="191"/>
      <c r="G66" s="503"/>
    </row>
    <row r="67" spans="1:7" ht="15">
      <c r="A67" s="140"/>
      <c r="B67" s="156"/>
      <c r="C67" s="170"/>
      <c r="D67" s="171"/>
      <c r="E67" s="170"/>
      <c r="F67" s="171"/>
      <c r="G67" s="505" t="s">
        <v>201</v>
      </c>
    </row>
    <row r="68" spans="1:7" ht="15">
      <c r="A68" s="514" t="s">
        <v>12</v>
      </c>
      <c r="B68" s="141" t="s">
        <v>68</v>
      </c>
      <c r="C68" s="182">
        <f>D68/1.18</f>
        <v>25.423728813559322</v>
      </c>
      <c r="D68" s="183">
        <v>30</v>
      </c>
      <c r="E68" s="168">
        <v>25.42</v>
      </c>
      <c r="F68" s="169">
        <v>30</v>
      </c>
      <c r="G68" s="502" t="s">
        <v>469</v>
      </c>
    </row>
    <row r="69" spans="1:7" ht="15">
      <c r="A69" s="514" t="s">
        <v>13</v>
      </c>
      <c r="B69" s="141"/>
      <c r="C69" s="168"/>
      <c r="D69" s="169"/>
      <c r="E69" s="168"/>
      <c r="F69" s="169"/>
      <c r="G69" s="504" t="s">
        <v>472</v>
      </c>
    </row>
    <row r="70" spans="1:7" ht="15">
      <c r="A70" s="140"/>
      <c r="B70" s="137"/>
      <c r="C70" s="174"/>
      <c r="D70" s="175"/>
      <c r="E70" s="174"/>
      <c r="F70" s="175"/>
      <c r="G70" s="505" t="s">
        <v>201</v>
      </c>
    </row>
    <row r="71" spans="1:7" ht="15">
      <c r="A71" s="153" t="s">
        <v>108</v>
      </c>
      <c r="B71" s="141" t="s">
        <v>57</v>
      </c>
      <c r="C71" s="182">
        <v>7.04</v>
      </c>
      <c r="D71" s="169"/>
      <c r="E71" s="168">
        <v>7.04</v>
      </c>
      <c r="F71" s="169"/>
      <c r="G71" s="502" t="s">
        <v>470</v>
      </c>
    </row>
    <row r="72" spans="1:7" ht="14.25">
      <c r="A72" s="145"/>
      <c r="B72" s="166"/>
      <c r="C72" s="162"/>
      <c r="D72" s="163"/>
      <c r="E72" s="162"/>
      <c r="F72" s="163"/>
      <c r="G72" s="508" t="s">
        <v>471</v>
      </c>
    </row>
    <row r="74" spans="1:7" ht="15">
      <c r="A74" s="1"/>
      <c r="B74" s="136" t="s">
        <v>461</v>
      </c>
      <c r="C74" s="1"/>
      <c r="D74" s="1"/>
      <c r="E74" s="1"/>
      <c r="F74" s="1"/>
      <c r="G74" s="1"/>
    </row>
    <row r="75" spans="1:7" ht="15">
      <c r="A75" s="1"/>
      <c r="B75" s="136"/>
      <c r="C75" s="588" t="s">
        <v>474</v>
      </c>
      <c r="D75" s="588"/>
      <c r="E75" s="1"/>
      <c r="F75" s="578" t="s">
        <v>407</v>
      </c>
      <c r="G75" s="578"/>
    </row>
    <row r="76" spans="1:7" ht="14.25">
      <c r="A76" s="137"/>
      <c r="B76" s="138"/>
      <c r="C76" s="139"/>
      <c r="D76" s="139"/>
      <c r="E76" s="140"/>
      <c r="F76" s="139"/>
      <c r="G76" s="501"/>
    </row>
    <row r="77" spans="1:7" ht="15">
      <c r="A77" s="141" t="s">
        <v>56</v>
      </c>
      <c r="B77" s="517" t="s">
        <v>410</v>
      </c>
      <c r="C77" s="579" t="s">
        <v>55</v>
      </c>
      <c r="D77" s="579"/>
      <c r="E77" s="580" t="s">
        <v>63</v>
      </c>
      <c r="F77" s="579"/>
      <c r="G77" s="141" t="s">
        <v>406</v>
      </c>
    </row>
    <row r="78" spans="1:7" ht="14.25">
      <c r="A78" s="143"/>
      <c r="B78" s="518" t="s">
        <v>411</v>
      </c>
      <c r="C78" s="144"/>
      <c r="D78" s="144"/>
      <c r="E78" s="145"/>
      <c r="F78" s="507"/>
      <c r="G78" s="143"/>
    </row>
    <row r="79" spans="1:7" ht="14.25">
      <c r="A79" s="143"/>
      <c r="B79" s="518" t="s">
        <v>412</v>
      </c>
      <c r="C79" s="147"/>
      <c r="D79" s="148"/>
      <c r="E79" s="140"/>
      <c r="F79" s="140"/>
      <c r="G79" s="143"/>
    </row>
    <row r="80" spans="1:7" ht="15">
      <c r="A80" s="149"/>
      <c r="B80" s="519"/>
      <c r="C80" s="150" t="s">
        <v>52</v>
      </c>
      <c r="D80" s="151" t="s">
        <v>53</v>
      </c>
      <c r="E80" s="152" t="s">
        <v>52</v>
      </c>
      <c r="F80" s="152" t="s">
        <v>53</v>
      </c>
      <c r="G80" s="149"/>
    </row>
    <row r="81" spans="1:7" ht="14.25">
      <c r="A81" s="140"/>
      <c r="B81" s="137"/>
      <c r="C81" s="139"/>
      <c r="D81" s="137"/>
      <c r="E81" s="139"/>
      <c r="F81" s="137"/>
      <c r="G81" s="504" t="s">
        <v>398</v>
      </c>
    </row>
    <row r="82" spans="1:7" ht="15">
      <c r="A82" s="514" t="s">
        <v>2</v>
      </c>
      <c r="B82" s="141" t="s">
        <v>413</v>
      </c>
      <c r="C82" s="182">
        <f>D82/1.18</f>
        <v>2</v>
      </c>
      <c r="D82" s="183">
        <v>2.36</v>
      </c>
      <c r="E82" s="182">
        <v>20</v>
      </c>
      <c r="F82" s="183">
        <f>E82*1.18</f>
        <v>23.599999999999998</v>
      </c>
      <c r="G82" s="520" t="s">
        <v>463</v>
      </c>
    </row>
    <row r="83" spans="1:7" ht="15">
      <c r="A83" s="514"/>
      <c r="B83" s="141"/>
      <c r="C83" s="182"/>
      <c r="D83" s="183"/>
      <c r="E83" s="550" t="s">
        <v>495</v>
      </c>
      <c r="F83" s="183"/>
      <c r="G83" s="520" t="s">
        <v>464</v>
      </c>
    </row>
    <row r="84" spans="1:7" ht="15">
      <c r="A84" s="514"/>
      <c r="B84" s="141"/>
      <c r="C84" s="182"/>
      <c r="D84" s="183"/>
      <c r="E84" s="549">
        <v>33.221</v>
      </c>
      <c r="F84" s="183"/>
      <c r="G84" s="520"/>
    </row>
    <row r="85" spans="1:7" ht="15">
      <c r="A85" s="515"/>
      <c r="B85" s="156"/>
      <c r="C85" s="184"/>
      <c r="D85" s="185"/>
      <c r="E85" s="184"/>
      <c r="F85" s="185"/>
      <c r="G85" s="521" t="s">
        <v>398</v>
      </c>
    </row>
    <row r="86" spans="1:7" ht="15">
      <c r="A86" s="514" t="s">
        <v>69</v>
      </c>
      <c r="B86" s="141" t="s">
        <v>58</v>
      </c>
      <c r="C86" s="182">
        <f>D86/1.18</f>
        <v>932.2033898305085</v>
      </c>
      <c r="D86" s="183">
        <v>1100</v>
      </c>
      <c r="E86" s="182">
        <v>12900</v>
      </c>
      <c r="F86" s="183">
        <f>E86*1.18</f>
        <v>15222</v>
      </c>
      <c r="G86" s="520" t="s">
        <v>466</v>
      </c>
    </row>
    <row r="87" spans="1:7" ht="15">
      <c r="A87" s="514"/>
      <c r="B87" s="160" t="s">
        <v>409</v>
      </c>
      <c r="C87" s="182"/>
      <c r="D87" s="183"/>
      <c r="E87" s="545"/>
      <c r="F87" s="183"/>
      <c r="G87" s="502"/>
    </row>
    <row r="88" spans="1:7" ht="15">
      <c r="A88" s="514"/>
      <c r="B88" s="141" t="s">
        <v>57</v>
      </c>
      <c r="C88" s="182">
        <f>D88/1.18</f>
        <v>37.28813559322034</v>
      </c>
      <c r="D88" s="183">
        <f>D86*0.04</f>
        <v>44</v>
      </c>
      <c r="E88" s="182"/>
      <c r="F88" s="183"/>
      <c r="G88" s="506"/>
    </row>
    <row r="89" spans="1:7" ht="15">
      <c r="A89" s="515"/>
      <c r="B89" s="156"/>
      <c r="C89" s="184"/>
      <c r="D89" s="185"/>
      <c r="E89" s="184"/>
      <c r="F89" s="185"/>
      <c r="G89" s="505" t="s">
        <v>398</v>
      </c>
    </row>
    <row r="90" spans="1:7" ht="15">
      <c r="A90" s="514" t="s">
        <v>16</v>
      </c>
      <c r="B90" s="141" t="s">
        <v>65</v>
      </c>
      <c r="C90" s="182">
        <f>D90/1.18</f>
        <v>127.11864406779662</v>
      </c>
      <c r="D90" s="183">
        <v>150</v>
      </c>
      <c r="E90" s="182">
        <v>622</v>
      </c>
      <c r="F90" s="183">
        <f>E90*1.18</f>
        <v>733.9599999999999</v>
      </c>
      <c r="G90" s="502" t="s">
        <v>465</v>
      </c>
    </row>
    <row r="91" spans="1:7" ht="15">
      <c r="A91" s="514"/>
      <c r="B91" s="159"/>
      <c r="C91" s="182"/>
      <c r="D91" s="183"/>
      <c r="E91" s="182"/>
      <c r="F91" s="183"/>
      <c r="G91" s="502"/>
    </row>
    <row r="92" spans="1:7" ht="15">
      <c r="A92" s="514"/>
      <c r="B92" s="160" t="s">
        <v>54</v>
      </c>
      <c r="C92" s="182">
        <f>D92/1.18</f>
        <v>483.0508474576271</v>
      </c>
      <c r="D92" s="183">
        <f>D90*3.8</f>
        <v>570</v>
      </c>
      <c r="E92" s="182"/>
      <c r="F92" s="183"/>
      <c r="G92" s="506"/>
    </row>
    <row r="93" spans="1:7" ht="14.25">
      <c r="A93" s="515"/>
      <c r="B93" s="156"/>
      <c r="C93" s="186"/>
      <c r="D93" s="187"/>
      <c r="E93" s="509"/>
      <c r="F93" s="510"/>
      <c r="G93" s="505" t="s">
        <v>398</v>
      </c>
    </row>
    <row r="94" spans="1:7" ht="15">
      <c r="A94" s="514" t="s">
        <v>467</v>
      </c>
      <c r="B94" s="141" t="s">
        <v>65</v>
      </c>
      <c r="C94" s="182">
        <f>D94/1.18</f>
        <v>127.11864406779662</v>
      </c>
      <c r="D94" s="183">
        <v>150</v>
      </c>
      <c r="E94" s="182">
        <v>622</v>
      </c>
      <c r="F94" s="183">
        <f>E94*1.18</f>
        <v>733.9599999999999</v>
      </c>
      <c r="G94" s="502" t="s">
        <v>468</v>
      </c>
    </row>
    <row r="95" spans="1:7" ht="15">
      <c r="A95" s="514" t="s">
        <v>475</v>
      </c>
      <c r="B95" s="159"/>
      <c r="C95" s="182"/>
      <c r="D95" s="183"/>
      <c r="E95" s="511"/>
      <c r="F95" s="512"/>
      <c r="G95" s="502"/>
    </row>
    <row r="96" spans="1:7" ht="15">
      <c r="A96" s="514"/>
      <c r="B96" s="160" t="s">
        <v>59</v>
      </c>
      <c r="C96" s="182">
        <f>D96/1.18</f>
        <v>193.22033898305085</v>
      </c>
      <c r="D96" s="183">
        <f>D94*1.52</f>
        <v>228</v>
      </c>
      <c r="E96" s="182"/>
      <c r="F96" s="191"/>
      <c r="G96" s="506"/>
    </row>
    <row r="97" spans="1:7" ht="15">
      <c r="A97" s="515"/>
      <c r="B97" s="156"/>
      <c r="C97" s="184"/>
      <c r="D97" s="185"/>
      <c r="E97" s="184"/>
      <c r="F97" s="185"/>
      <c r="G97" s="505" t="s">
        <v>398</v>
      </c>
    </row>
    <row r="98" spans="1:7" ht="15">
      <c r="A98" s="514" t="s">
        <v>11</v>
      </c>
      <c r="B98" s="141" t="s">
        <v>61</v>
      </c>
      <c r="C98" s="182">
        <f>D98/1.18</f>
        <v>13.271186440677967</v>
      </c>
      <c r="D98" s="183">
        <v>15.66</v>
      </c>
      <c r="E98" s="182">
        <v>13.27</v>
      </c>
      <c r="F98" s="183">
        <f>E98*1.18</f>
        <v>15.658599999999998</v>
      </c>
      <c r="G98" s="502" t="s">
        <v>465</v>
      </c>
    </row>
    <row r="99" spans="1:7" ht="15">
      <c r="A99" s="514"/>
      <c r="B99" s="141"/>
      <c r="C99" s="182"/>
      <c r="D99" s="183"/>
      <c r="E99" s="182"/>
      <c r="F99" s="183"/>
      <c r="G99" s="502"/>
    </row>
    <row r="100" spans="1:7" ht="15">
      <c r="A100" s="516"/>
      <c r="B100" s="165" t="s">
        <v>66</v>
      </c>
      <c r="C100" s="182">
        <f>D100/1.18</f>
        <v>70.33728813559323</v>
      </c>
      <c r="D100" s="183">
        <f>D98*5.3</f>
        <v>82.998</v>
      </c>
      <c r="E100" s="190"/>
      <c r="F100" s="191"/>
      <c r="G100" s="503"/>
    </row>
    <row r="101" spans="1:7" ht="15">
      <c r="A101" s="140"/>
      <c r="B101" s="156"/>
      <c r="C101" s="170"/>
      <c r="D101" s="171"/>
      <c r="E101" s="170"/>
      <c r="F101" s="171"/>
      <c r="G101" s="505" t="s">
        <v>201</v>
      </c>
    </row>
    <row r="102" spans="1:7" ht="15">
      <c r="A102" s="514" t="s">
        <v>12</v>
      </c>
      <c r="B102" s="141" t="s">
        <v>68</v>
      </c>
      <c r="C102" s="182">
        <f>D102/1.18</f>
        <v>25.423728813559322</v>
      </c>
      <c r="D102" s="183">
        <v>30</v>
      </c>
      <c r="E102" s="168">
        <v>25.42</v>
      </c>
      <c r="F102" s="169">
        <v>30</v>
      </c>
      <c r="G102" s="502" t="s">
        <v>469</v>
      </c>
    </row>
    <row r="103" spans="1:7" ht="15">
      <c r="A103" s="514" t="s">
        <v>13</v>
      </c>
      <c r="B103" s="141"/>
      <c r="C103" s="168"/>
      <c r="D103" s="169"/>
      <c r="E103" s="168"/>
      <c r="F103" s="169"/>
      <c r="G103" s="504" t="s">
        <v>472</v>
      </c>
    </row>
    <row r="104" spans="1:7" ht="15">
      <c r="A104" s="140"/>
      <c r="B104" s="137"/>
      <c r="C104" s="174"/>
      <c r="D104" s="175"/>
      <c r="E104" s="174"/>
      <c r="F104" s="175"/>
      <c r="G104" s="505" t="s">
        <v>201</v>
      </c>
    </row>
    <row r="105" spans="1:7" ht="15">
      <c r="A105" s="153" t="s">
        <v>108</v>
      </c>
      <c r="B105" s="141" t="s">
        <v>57</v>
      </c>
      <c r="C105" s="182">
        <v>7.04</v>
      </c>
      <c r="D105" s="169"/>
      <c r="E105" s="168">
        <v>7.04</v>
      </c>
      <c r="F105" s="169"/>
      <c r="G105" s="502" t="s">
        <v>470</v>
      </c>
    </row>
    <row r="106" spans="1:7" ht="14.25">
      <c r="A106" s="145"/>
      <c r="B106" s="166"/>
      <c r="C106" s="162"/>
      <c r="D106" s="163"/>
      <c r="E106" s="162"/>
      <c r="F106" s="163"/>
      <c r="G106" s="508" t="s">
        <v>471</v>
      </c>
    </row>
    <row r="108" spans="1:7" ht="12.75">
      <c r="A108" s="12"/>
      <c r="B108" s="12"/>
      <c r="C108" s="12"/>
      <c r="D108" s="12"/>
      <c r="E108" s="12"/>
      <c r="F108" s="12"/>
      <c r="G108" s="12"/>
    </row>
    <row r="109" spans="1:7" ht="14.25">
      <c r="A109" s="546" t="s">
        <v>475</v>
      </c>
      <c r="B109" s="12" t="s">
        <v>476</v>
      </c>
      <c r="C109" s="12"/>
      <c r="D109" s="12"/>
      <c r="E109" s="12"/>
      <c r="F109" s="12"/>
      <c r="G109" s="12"/>
    </row>
    <row r="110" spans="1:7" ht="12.75">
      <c r="A110" s="12" t="s">
        <v>477</v>
      </c>
      <c r="B110" s="12"/>
      <c r="C110" s="12"/>
      <c r="D110" s="12"/>
      <c r="E110" s="12"/>
      <c r="F110" s="12"/>
      <c r="G110" s="12"/>
    </row>
    <row r="111" spans="1:7" ht="12.75">
      <c r="A111" s="12" t="s">
        <v>478</v>
      </c>
      <c r="B111" s="12"/>
      <c r="C111" s="12"/>
      <c r="D111" s="12"/>
      <c r="E111" s="12"/>
      <c r="F111" s="12"/>
      <c r="G111" s="12"/>
    </row>
    <row r="112" spans="1:7" ht="12.75">
      <c r="A112" s="12" t="s">
        <v>488</v>
      </c>
      <c r="B112" s="12"/>
      <c r="C112" s="12"/>
      <c r="D112" s="12"/>
      <c r="E112" s="12"/>
      <c r="F112" s="12"/>
      <c r="G112" s="12"/>
    </row>
    <row r="113" spans="1:7" ht="12.75">
      <c r="A113" s="547" t="s">
        <v>479</v>
      </c>
      <c r="B113" s="12"/>
      <c r="C113" s="12"/>
      <c r="D113" s="12"/>
      <c r="E113" s="12"/>
      <c r="F113" s="12"/>
      <c r="G113" s="12"/>
    </row>
    <row r="114" spans="1:7" ht="12.75">
      <c r="A114" s="12" t="s">
        <v>480</v>
      </c>
      <c r="B114" s="12"/>
      <c r="C114" s="12"/>
      <c r="D114" s="12"/>
      <c r="E114" s="12"/>
      <c r="F114" s="12"/>
      <c r="G114" s="12"/>
    </row>
    <row r="115" spans="1:7" ht="12.75">
      <c r="A115" s="12"/>
      <c r="B115" s="18" t="s">
        <v>481</v>
      </c>
      <c r="C115" s="12"/>
      <c r="D115" s="12"/>
      <c r="E115" s="12"/>
      <c r="F115" s="12"/>
      <c r="G115" s="12"/>
    </row>
    <row r="116" spans="1:7" ht="14.25">
      <c r="A116" s="33"/>
      <c r="B116" s="18" t="s">
        <v>482</v>
      </c>
      <c r="C116" s="33"/>
      <c r="D116" s="33"/>
      <c r="E116" s="33"/>
      <c r="F116" s="33"/>
      <c r="G116" s="33"/>
    </row>
    <row r="117" spans="1:7" ht="14.25">
      <c r="A117" s="33"/>
      <c r="B117" s="18" t="s">
        <v>483</v>
      </c>
      <c r="C117" s="33"/>
      <c r="D117" s="33"/>
      <c r="E117" s="33"/>
      <c r="F117" s="33"/>
      <c r="G117" s="33"/>
    </row>
    <row r="118" spans="1:7" ht="14.25">
      <c r="A118" s="33"/>
      <c r="B118" s="18" t="s">
        <v>484</v>
      </c>
      <c r="C118" s="33"/>
      <c r="D118" s="33"/>
      <c r="E118" s="33"/>
      <c r="F118" s="33"/>
      <c r="G118" s="33"/>
    </row>
    <row r="119" spans="1:7" ht="14.25">
      <c r="A119" s="33"/>
      <c r="B119" s="18" t="s">
        <v>485</v>
      </c>
      <c r="C119" s="33"/>
      <c r="D119" s="33"/>
      <c r="E119" s="33"/>
      <c r="F119" s="33"/>
      <c r="G119" s="33"/>
    </row>
    <row r="120" spans="1:7" ht="14.25">
      <c r="A120" s="548" t="s">
        <v>489</v>
      </c>
      <c r="B120" s="33"/>
      <c r="C120" s="33"/>
      <c r="D120" s="33"/>
      <c r="E120" s="33"/>
      <c r="F120" s="33"/>
      <c r="G120" s="33"/>
    </row>
    <row r="121" spans="1:7" ht="14.25">
      <c r="A121" s="33"/>
      <c r="B121" s="217" t="s">
        <v>486</v>
      </c>
      <c r="C121" s="33"/>
      <c r="D121" s="33"/>
      <c r="E121" s="33"/>
      <c r="F121" s="33"/>
      <c r="G121" s="33"/>
    </row>
    <row r="122" spans="1:7" ht="14.25">
      <c r="A122" s="33"/>
      <c r="B122" s="217" t="s">
        <v>487</v>
      </c>
      <c r="C122" s="33"/>
      <c r="D122" s="33"/>
      <c r="E122" s="33"/>
      <c r="F122" s="33"/>
      <c r="G122" s="33"/>
    </row>
    <row r="123" spans="1:7" ht="14.25">
      <c r="A123" s="33"/>
      <c r="B123" s="33"/>
      <c r="C123" s="33"/>
      <c r="D123" s="33"/>
      <c r="E123" s="33"/>
      <c r="F123" s="33"/>
      <c r="G123" s="33"/>
    </row>
    <row r="124" spans="1:7" ht="14.25">
      <c r="A124" s="33" t="s">
        <v>490</v>
      </c>
      <c r="B124" s="12"/>
      <c r="C124" s="33"/>
      <c r="D124" s="33"/>
      <c r="E124" s="33"/>
      <c r="F124" s="33"/>
      <c r="G124" s="33"/>
    </row>
    <row r="125" spans="1:7" ht="14.25">
      <c r="A125" s="33" t="s">
        <v>491</v>
      </c>
      <c r="B125" s="33"/>
      <c r="C125" s="33"/>
      <c r="D125" s="33"/>
      <c r="E125" s="33"/>
      <c r="F125" s="33"/>
      <c r="G125" s="33"/>
    </row>
    <row r="126" spans="1:7" ht="14.25">
      <c r="A126" s="35" t="s">
        <v>493</v>
      </c>
      <c r="B126" s="33"/>
      <c r="C126" s="33"/>
      <c r="D126" s="33"/>
      <c r="E126" s="33"/>
      <c r="F126" s="33"/>
      <c r="G126" s="33"/>
    </row>
    <row r="127" spans="1:7" ht="14.25">
      <c r="A127" s="33" t="s">
        <v>492</v>
      </c>
      <c r="B127" s="33"/>
      <c r="C127" s="33"/>
      <c r="D127" s="33"/>
      <c r="E127" s="33"/>
      <c r="F127" s="33"/>
      <c r="G127" s="33"/>
    </row>
    <row r="128" spans="1:7" ht="14.25">
      <c r="A128" s="33"/>
      <c r="B128" s="33"/>
      <c r="C128" s="33"/>
      <c r="D128" s="33"/>
      <c r="E128" s="33"/>
      <c r="F128" s="33"/>
      <c r="G128" s="33"/>
    </row>
    <row r="129" spans="1:7" ht="14.25">
      <c r="A129" s="33"/>
      <c r="B129" s="33"/>
      <c r="C129" s="33"/>
      <c r="D129" s="33"/>
      <c r="E129" s="33"/>
      <c r="F129" s="33"/>
      <c r="G129" s="33"/>
    </row>
    <row r="130" spans="1:7" ht="14.25">
      <c r="A130" s="33"/>
      <c r="B130" s="33"/>
      <c r="C130" s="33"/>
      <c r="D130" s="33"/>
      <c r="E130" s="33"/>
      <c r="F130" s="33"/>
      <c r="G130" s="33"/>
    </row>
    <row r="131" spans="1:7" ht="14.25">
      <c r="A131" s="33"/>
      <c r="B131" s="33"/>
      <c r="C131" s="33"/>
      <c r="D131" s="33"/>
      <c r="E131" s="33"/>
      <c r="F131" s="33"/>
      <c r="G131" s="33"/>
    </row>
    <row r="132" spans="1:7" ht="12.75">
      <c r="A132" s="12"/>
      <c r="B132" s="12"/>
      <c r="C132" s="12"/>
      <c r="D132" s="12"/>
      <c r="E132" s="12"/>
      <c r="F132" s="12"/>
      <c r="G132" s="12"/>
    </row>
    <row r="133" spans="1:7" ht="12.75">
      <c r="A133" s="12"/>
      <c r="B133" s="12"/>
      <c r="C133" s="12"/>
      <c r="D133" s="12"/>
      <c r="E133" s="12"/>
      <c r="F133" s="12"/>
      <c r="G133" s="12"/>
    </row>
    <row r="134" spans="1:7" ht="12.75">
      <c r="A134" s="12"/>
      <c r="B134" s="12"/>
      <c r="C134" s="12"/>
      <c r="D134" s="12"/>
      <c r="E134" s="12"/>
      <c r="F134" s="12"/>
      <c r="G134" s="12"/>
    </row>
    <row r="135" spans="1:7" ht="12.75">
      <c r="A135" s="12"/>
      <c r="B135" s="12"/>
      <c r="C135" s="12"/>
      <c r="D135" s="12"/>
      <c r="E135" s="12"/>
      <c r="F135" s="12"/>
      <c r="G135" s="12"/>
    </row>
    <row r="136" spans="1:7" ht="12.75">
      <c r="A136" s="12"/>
      <c r="B136" s="12"/>
      <c r="C136" s="12"/>
      <c r="D136" s="12"/>
      <c r="E136" s="12"/>
      <c r="F136" s="12"/>
      <c r="G136" s="12"/>
    </row>
    <row r="137" spans="1:7" ht="12.75">
      <c r="A137" s="12"/>
      <c r="B137" s="12"/>
      <c r="C137" s="12"/>
      <c r="D137" s="12"/>
      <c r="E137" s="12"/>
      <c r="F137" s="12"/>
      <c r="G137" s="12"/>
    </row>
    <row r="138" spans="1:7" ht="12.75">
      <c r="A138" s="12"/>
      <c r="B138" s="12"/>
      <c r="C138" s="12"/>
      <c r="D138" s="12"/>
      <c r="E138" s="12"/>
      <c r="F138" s="12"/>
      <c r="G138" s="12"/>
    </row>
    <row r="139" spans="1:7" ht="12.75">
      <c r="A139" s="12"/>
      <c r="B139" s="12"/>
      <c r="C139" s="12"/>
      <c r="D139" s="12"/>
      <c r="E139" s="12"/>
      <c r="F139" s="12"/>
      <c r="G139" s="12"/>
    </row>
    <row r="140" spans="1:7" ht="12.75">
      <c r="A140" s="12"/>
      <c r="B140" s="12"/>
      <c r="C140" s="12"/>
      <c r="D140" s="12"/>
      <c r="E140" s="12"/>
      <c r="F140" s="12"/>
      <c r="G140" s="12"/>
    </row>
    <row r="141" spans="1:7" ht="12.75">
      <c r="A141" s="12"/>
      <c r="B141" s="12"/>
      <c r="C141" s="12"/>
      <c r="D141" s="12"/>
      <c r="E141" s="12"/>
      <c r="F141" s="12"/>
      <c r="G141" s="12"/>
    </row>
    <row r="142" spans="1:7" ht="12.75">
      <c r="A142" s="12"/>
      <c r="B142" s="12"/>
      <c r="C142" s="12"/>
      <c r="D142" s="12"/>
      <c r="E142" s="12"/>
      <c r="F142" s="12"/>
      <c r="G142" s="12"/>
    </row>
    <row r="143" spans="1:7" ht="12.75">
      <c r="A143" s="12"/>
      <c r="B143" s="12"/>
      <c r="C143" s="12"/>
      <c r="D143" s="12"/>
      <c r="E143" s="12"/>
      <c r="F143" s="12"/>
      <c r="G143" s="12"/>
    </row>
  </sheetData>
  <sheetProtection/>
  <mergeCells count="12">
    <mergeCell ref="C3:D3"/>
    <mergeCell ref="F3:G3"/>
    <mergeCell ref="E5:F5"/>
    <mergeCell ref="C5:D5"/>
    <mergeCell ref="C75:D75"/>
    <mergeCell ref="F75:G75"/>
    <mergeCell ref="C77:D77"/>
    <mergeCell ref="E77:F77"/>
    <mergeCell ref="C41:D41"/>
    <mergeCell ref="F41:G41"/>
    <mergeCell ref="C43:D43"/>
    <mergeCell ref="E43:F43"/>
  </mergeCells>
  <printOptions/>
  <pageMargins left="0.63" right="0.43" top="0.984251968503937" bottom="0.56" header="0.5118110236220472" footer="0.44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2"/>
  <sheetViews>
    <sheetView zoomScalePageLayoutView="0" workbookViewId="0" topLeftCell="A22">
      <selection activeCell="A117" sqref="A117:E142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3.421875" style="0" customWidth="1"/>
    <col min="4" max="4" width="16.7109375" style="0" customWidth="1"/>
    <col min="5" max="5" width="26.140625" style="0" customWidth="1"/>
    <col min="6" max="6" width="14.57421875" style="0" customWidth="1"/>
    <col min="7" max="7" width="6.00390625" style="0" customWidth="1"/>
    <col min="8" max="8" width="15.00390625" style="0" customWidth="1"/>
    <col min="9" max="10" width="17.8515625" style="0" customWidth="1"/>
    <col min="11" max="11" width="21.140625" style="0" customWidth="1"/>
    <col min="12" max="12" width="10.57421875" style="0" customWidth="1"/>
  </cols>
  <sheetData>
    <row r="1" spans="8:14" ht="12.75">
      <c r="H1" s="18"/>
      <c r="I1" s="18"/>
      <c r="J1" s="18"/>
      <c r="K1" s="18"/>
      <c r="L1" s="16"/>
      <c r="M1" s="16"/>
      <c r="N1" s="16"/>
    </row>
    <row r="2" spans="4:20" ht="12.75">
      <c r="D2" t="s">
        <v>139</v>
      </c>
      <c r="H2" s="18"/>
      <c r="I2" s="18"/>
      <c r="J2" s="18"/>
      <c r="K2" s="18"/>
      <c r="L2" s="16"/>
      <c r="M2" s="43"/>
      <c r="N2" s="43"/>
      <c r="O2" s="42"/>
      <c r="P2" s="42"/>
      <c r="Q2" s="42"/>
      <c r="R2" s="42"/>
      <c r="S2" s="42"/>
      <c r="T2" s="42"/>
    </row>
    <row r="3" spans="8:20" ht="12.75">
      <c r="H3" s="18"/>
      <c r="I3" s="217"/>
      <c r="J3" s="18"/>
      <c r="K3" s="18"/>
      <c r="L3" s="16"/>
      <c r="M3" s="43"/>
      <c r="N3" s="43"/>
      <c r="O3" s="42"/>
      <c r="P3" s="42"/>
      <c r="Q3" s="42"/>
      <c r="R3" s="42"/>
      <c r="S3" s="42"/>
      <c r="T3" s="42"/>
    </row>
    <row r="4" spans="1:20" ht="12.75">
      <c r="A4" t="s">
        <v>6</v>
      </c>
      <c r="H4" s="18"/>
      <c r="I4" s="18"/>
      <c r="J4" s="18"/>
      <c r="K4" s="18"/>
      <c r="L4" s="16"/>
      <c r="M4" s="43"/>
      <c r="N4" s="43"/>
      <c r="O4" s="42"/>
      <c r="P4" s="42"/>
      <c r="Q4" s="42"/>
      <c r="R4" s="42"/>
      <c r="S4" s="42"/>
      <c r="T4" s="42"/>
    </row>
    <row r="5" spans="1:20" ht="12.75">
      <c r="A5" s="12"/>
      <c r="B5" s="12"/>
      <c r="C5" s="12"/>
      <c r="D5" s="12"/>
      <c r="E5" s="12"/>
      <c r="F5" s="12"/>
      <c r="H5" s="18"/>
      <c r="I5" s="38"/>
      <c r="J5" s="38"/>
      <c r="K5" s="18"/>
      <c r="L5" s="16"/>
      <c r="M5" s="43"/>
      <c r="N5" s="43"/>
      <c r="O5" s="42"/>
      <c r="P5" s="42"/>
      <c r="Q5" s="42"/>
      <c r="R5" s="42"/>
      <c r="S5" s="42"/>
      <c r="T5" s="42"/>
    </row>
    <row r="6" spans="1:20" ht="12.75">
      <c r="A6" s="12"/>
      <c r="B6" s="70" t="s">
        <v>140</v>
      </c>
      <c r="C6" s="12"/>
      <c r="D6" s="12"/>
      <c r="E6" s="12"/>
      <c r="F6" s="12"/>
      <c r="H6" s="18"/>
      <c r="I6" s="38"/>
      <c r="J6" s="38"/>
      <c r="K6" s="38"/>
      <c r="L6" s="16"/>
      <c r="M6" s="43"/>
      <c r="N6" s="43"/>
      <c r="O6" s="42"/>
      <c r="P6" s="42"/>
      <c r="Q6" s="42"/>
      <c r="R6" s="42"/>
      <c r="S6" s="42"/>
      <c r="T6" s="42"/>
    </row>
    <row r="7" spans="1:20" ht="12.75">
      <c r="A7" s="12"/>
      <c r="B7" s="12"/>
      <c r="C7" s="12"/>
      <c r="D7" s="12"/>
      <c r="E7" s="12"/>
      <c r="F7" s="12"/>
      <c r="H7" s="18"/>
      <c r="I7" s="38"/>
      <c r="J7" s="38"/>
      <c r="K7" s="38"/>
      <c r="L7" s="17"/>
      <c r="M7" s="43"/>
      <c r="N7" s="43"/>
      <c r="O7" s="42"/>
      <c r="P7" s="42"/>
      <c r="Q7" s="42"/>
      <c r="R7" s="42"/>
      <c r="S7" s="42"/>
      <c r="T7" s="42"/>
    </row>
    <row r="8" spans="1:20" ht="12.75">
      <c r="A8" s="12"/>
      <c r="B8" s="214" t="s">
        <v>141</v>
      </c>
      <c r="C8" s="12" t="s">
        <v>142</v>
      </c>
      <c r="D8" s="12"/>
      <c r="E8" s="71"/>
      <c r="F8" s="12"/>
      <c r="H8" s="18"/>
      <c r="I8" s="18"/>
      <c r="J8" s="18"/>
      <c r="K8" s="18"/>
      <c r="L8" s="17"/>
      <c r="M8" s="43"/>
      <c r="N8" s="43"/>
      <c r="O8" s="42"/>
      <c r="P8" s="42"/>
      <c r="Q8" s="42"/>
      <c r="R8" s="42"/>
      <c r="S8" s="42"/>
      <c r="T8" s="42"/>
    </row>
    <row r="9" spans="1:20" ht="12.75">
      <c r="A9" s="12"/>
      <c r="B9" s="12"/>
      <c r="C9" s="12" t="s">
        <v>143</v>
      </c>
      <c r="D9" s="12"/>
      <c r="E9" s="71"/>
      <c r="F9" s="12"/>
      <c r="H9" s="217"/>
      <c r="I9" s="38"/>
      <c r="J9" s="218"/>
      <c r="K9" s="219"/>
      <c r="L9" s="17"/>
      <c r="M9" s="43"/>
      <c r="N9" s="43"/>
      <c r="O9" s="50"/>
      <c r="P9" s="50"/>
      <c r="Q9" s="50"/>
      <c r="R9" s="50"/>
      <c r="S9" s="50"/>
      <c r="T9" s="50"/>
    </row>
    <row r="10" spans="1:20" ht="12.75">
      <c r="A10" s="12"/>
      <c r="B10" s="213"/>
      <c r="C10" s="214" t="s">
        <v>144</v>
      </c>
      <c r="D10" s="71"/>
      <c r="E10" s="12"/>
      <c r="F10" s="12"/>
      <c r="H10" s="217"/>
      <c r="I10" s="38"/>
      <c r="J10" s="218"/>
      <c r="K10" s="219"/>
      <c r="L10" s="17"/>
      <c r="M10" s="43"/>
      <c r="N10" s="43"/>
      <c r="O10" s="50"/>
      <c r="P10" s="50"/>
      <c r="Q10" s="50"/>
      <c r="R10" s="50"/>
      <c r="S10" s="50"/>
      <c r="T10" s="50"/>
    </row>
    <row r="11" spans="1:20" ht="12.75">
      <c r="A11" s="12"/>
      <c r="B11" s="213"/>
      <c r="C11" s="71"/>
      <c r="D11" s="71"/>
      <c r="E11" s="12"/>
      <c r="F11" s="12"/>
      <c r="H11" s="217"/>
      <c r="I11" s="38"/>
      <c r="J11" s="218"/>
      <c r="K11" s="219"/>
      <c r="L11" s="17"/>
      <c r="M11" s="43"/>
      <c r="N11" s="43"/>
      <c r="O11" s="50"/>
      <c r="P11" s="50"/>
      <c r="Q11" s="50"/>
      <c r="R11" s="50"/>
      <c r="S11" s="50"/>
      <c r="T11" s="50"/>
    </row>
    <row r="12" spans="1:20" ht="12.75">
      <c r="A12" s="12"/>
      <c r="B12" s="215" t="s">
        <v>145</v>
      </c>
      <c r="C12" s="213"/>
      <c r="D12" s="71"/>
      <c r="E12" s="12"/>
      <c r="F12" s="12"/>
      <c r="H12" s="217"/>
      <c r="I12" s="38"/>
      <c r="J12" s="218"/>
      <c r="K12" s="219"/>
      <c r="L12" s="17"/>
      <c r="M12" s="43"/>
      <c r="N12" s="43"/>
      <c r="O12" s="50"/>
      <c r="P12" s="50"/>
      <c r="Q12" s="50"/>
      <c r="R12" s="50"/>
      <c r="S12" s="50"/>
      <c r="T12" s="50"/>
    </row>
    <row r="13" spans="1:20" ht="12.75">
      <c r="A13" s="12"/>
      <c r="B13" s="213"/>
      <c r="C13" s="213" t="s">
        <v>146</v>
      </c>
      <c r="D13" s="71"/>
      <c r="E13" s="12"/>
      <c r="F13" s="12"/>
      <c r="H13" s="217"/>
      <c r="I13" s="38"/>
      <c r="J13" s="218"/>
      <c r="K13" s="219"/>
      <c r="L13" s="17"/>
      <c r="M13" s="43"/>
      <c r="N13" s="43"/>
      <c r="O13" s="50"/>
      <c r="P13" s="50"/>
      <c r="Q13" s="50"/>
      <c r="R13" s="50"/>
      <c r="S13" s="50"/>
      <c r="T13" s="50"/>
    </row>
    <row r="14" spans="1:20" ht="12.75">
      <c r="A14" s="12"/>
      <c r="B14" s="71"/>
      <c r="C14" s="12" t="s">
        <v>147</v>
      </c>
      <c r="D14" s="71"/>
      <c r="E14" s="12"/>
      <c r="F14" s="12"/>
      <c r="H14" s="217"/>
      <c r="I14" s="38"/>
      <c r="J14" s="218"/>
      <c r="K14" s="219"/>
      <c r="L14" s="16"/>
      <c r="M14" s="43"/>
      <c r="N14" s="43"/>
      <c r="O14" s="221"/>
      <c r="P14" s="221"/>
      <c r="Q14" s="50"/>
      <c r="R14" s="50"/>
      <c r="S14" s="50"/>
      <c r="T14" s="50"/>
    </row>
    <row r="15" spans="1:20" ht="12.75">
      <c r="A15" s="12"/>
      <c r="B15" s="71"/>
      <c r="C15" s="214" t="s">
        <v>158</v>
      </c>
      <c r="D15" s="71"/>
      <c r="E15" s="12"/>
      <c r="F15" s="12"/>
      <c r="H15" s="217"/>
      <c r="I15" s="38"/>
      <c r="J15" s="218"/>
      <c r="K15" s="219"/>
      <c r="L15" s="16"/>
      <c r="M15" s="43"/>
      <c r="N15" s="43"/>
      <c r="O15" s="50"/>
      <c r="P15" s="50"/>
      <c r="Q15" s="50"/>
      <c r="R15" s="50"/>
      <c r="S15" s="50"/>
      <c r="T15" s="50"/>
    </row>
    <row r="16" spans="1:20" ht="12.75">
      <c r="A16" s="12"/>
      <c r="B16" s="213"/>
      <c r="C16" s="214" t="s">
        <v>157</v>
      </c>
      <c r="D16" s="213"/>
      <c r="E16" s="12"/>
      <c r="F16" s="12"/>
      <c r="H16" s="217"/>
      <c r="I16" s="38"/>
      <c r="J16" s="218"/>
      <c r="K16" s="219"/>
      <c r="L16" s="16"/>
      <c r="M16" s="43"/>
      <c r="N16" s="43"/>
      <c r="O16" s="50"/>
      <c r="P16" s="50"/>
      <c r="Q16" s="50"/>
      <c r="R16" s="50"/>
      <c r="S16" s="50"/>
      <c r="T16" s="50"/>
    </row>
    <row r="17" spans="1:20" ht="12.75">
      <c r="A17" s="12"/>
      <c r="B17" s="215" t="s">
        <v>148</v>
      </c>
      <c r="C17" s="215"/>
      <c r="D17" s="215"/>
      <c r="E17" s="214"/>
      <c r="F17" s="214"/>
      <c r="H17" s="217"/>
      <c r="I17" s="38"/>
      <c r="J17" s="218"/>
      <c r="K17" s="219"/>
      <c r="L17" s="16"/>
      <c r="M17" s="43"/>
      <c r="N17" s="43"/>
      <c r="O17" s="50"/>
      <c r="P17" s="50"/>
      <c r="Q17" s="50"/>
      <c r="R17" s="50"/>
      <c r="S17" s="50"/>
      <c r="T17" s="50"/>
    </row>
    <row r="18" spans="1:20" ht="12.75">
      <c r="A18" s="12"/>
      <c r="B18" s="215"/>
      <c r="C18" s="215"/>
      <c r="D18" s="215"/>
      <c r="E18" s="214"/>
      <c r="F18" s="214"/>
      <c r="H18" s="217"/>
      <c r="I18" s="38"/>
      <c r="J18" s="218"/>
      <c r="K18" s="219"/>
      <c r="L18" s="16"/>
      <c r="M18" s="43"/>
      <c r="N18" s="43"/>
      <c r="O18" s="50"/>
      <c r="P18" s="50"/>
      <c r="Q18" s="50"/>
      <c r="R18" s="50"/>
      <c r="S18" s="50"/>
      <c r="T18" s="50"/>
    </row>
    <row r="19" spans="1:20" ht="12.75">
      <c r="A19" s="12"/>
      <c r="B19" s="215" t="s">
        <v>164</v>
      </c>
      <c r="C19" s="215"/>
      <c r="D19" s="215"/>
      <c r="E19" s="214"/>
      <c r="F19" s="214"/>
      <c r="H19" s="217"/>
      <c r="I19" s="38"/>
      <c r="J19" s="218"/>
      <c r="K19" s="219"/>
      <c r="L19" s="16"/>
      <c r="M19" s="43"/>
      <c r="N19" s="43"/>
      <c r="O19" s="50"/>
      <c r="P19" s="50"/>
      <c r="Q19" s="50"/>
      <c r="R19" s="50"/>
      <c r="S19" s="50"/>
      <c r="T19" s="50"/>
    </row>
    <row r="20" spans="1:20" ht="12.75">
      <c r="A20" s="12"/>
      <c r="B20" s="214"/>
      <c r="C20" s="214" t="s">
        <v>165</v>
      </c>
      <c r="D20" s="214"/>
      <c r="E20" s="214"/>
      <c r="F20" s="214"/>
      <c r="H20" s="217"/>
      <c r="I20" s="38"/>
      <c r="J20" s="218"/>
      <c r="K20" s="219"/>
      <c r="L20" s="17"/>
      <c r="M20" s="43"/>
      <c r="N20" s="43"/>
      <c r="O20" s="50"/>
      <c r="P20" s="50"/>
      <c r="Q20" s="50"/>
      <c r="R20" s="50"/>
      <c r="S20" s="50"/>
      <c r="T20" s="221"/>
    </row>
    <row r="21" spans="1:20" ht="12.75">
      <c r="A21" s="12"/>
      <c r="B21" s="214"/>
      <c r="C21" s="12" t="s">
        <v>166</v>
      </c>
      <c r="D21" s="214"/>
      <c r="E21" s="214"/>
      <c r="F21" s="214"/>
      <c r="H21" s="217"/>
      <c r="I21" s="38"/>
      <c r="J21" s="218"/>
      <c r="K21" s="219"/>
      <c r="L21" s="17"/>
      <c r="M21" s="43"/>
      <c r="N21" s="43"/>
      <c r="O21" s="50"/>
      <c r="P21" s="50"/>
      <c r="Q21" s="50"/>
      <c r="R21" s="50"/>
      <c r="S21" s="50"/>
      <c r="T21" s="221"/>
    </row>
    <row r="22" spans="1:20" ht="12.75">
      <c r="A22" s="12"/>
      <c r="B22" s="216" t="s">
        <v>149</v>
      </c>
      <c r="C22" s="214"/>
      <c r="D22" s="214"/>
      <c r="E22" s="214"/>
      <c r="F22" s="214"/>
      <c r="H22" s="217"/>
      <c r="I22" s="38"/>
      <c r="J22" s="218"/>
      <c r="K22" s="219"/>
      <c r="L22" s="17"/>
      <c r="M22" s="43"/>
      <c r="N22" s="43"/>
      <c r="O22" s="50"/>
      <c r="P22" s="50"/>
      <c r="Q22" s="50"/>
      <c r="R22" s="50"/>
      <c r="S22" s="50"/>
      <c r="T22" s="221"/>
    </row>
    <row r="23" spans="1:20" ht="12.75">
      <c r="A23" s="12"/>
      <c r="B23" s="215"/>
      <c r="C23" s="214"/>
      <c r="D23" s="215"/>
      <c r="E23" s="214"/>
      <c r="F23" s="214"/>
      <c r="H23" s="217"/>
      <c r="I23" s="38"/>
      <c r="J23" s="218"/>
      <c r="K23" s="219"/>
      <c r="L23" s="16"/>
      <c r="M23" s="43"/>
      <c r="N23" s="43"/>
      <c r="O23" s="50"/>
      <c r="P23" s="50"/>
      <c r="Q23" s="24"/>
      <c r="R23" s="24"/>
      <c r="S23" s="24"/>
      <c r="T23" s="222"/>
    </row>
    <row r="24" spans="1:20" ht="12.75">
      <c r="A24" s="12"/>
      <c r="B24" s="215" t="s">
        <v>159</v>
      </c>
      <c r="C24" s="214"/>
      <c r="D24" s="215"/>
      <c r="E24" s="214"/>
      <c r="F24" s="214"/>
      <c r="H24" s="217"/>
      <c r="I24" s="219"/>
      <c r="J24" s="220"/>
      <c r="K24" s="219"/>
      <c r="L24" s="37"/>
      <c r="M24" s="43"/>
      <c r="N24" s="43"/>
      <c r="O24" s="42"/>
      <c r="P24" s="42"/>
      <c r="Q24" s="42"/>
      <c r="R24" s="42"/>
      <c r="S24" s="42"/>
      <c r="T24" s="42"/>
    </row>
    <row r="25" spans="1:20" ht="12.75">
      <c r="A25" s="12"/>
      <c r="B25" s="215"/>
      <c r="C25" s="214" t="s">
        <v>160</v>
      </c>
      <c r="D25" s="215"/>
      <c r="E25" s="214"/>
      <c r="F25" s="214"/>
      <c r="H25" s="18"/>
      <c r="I25" s="18"/>
      <c r="J25" s="18"/>
      <c r="K25" s="18"/>
      <c r="L25" s="16"/>
      <c r="M25" s="43"/>
      <c r="N25" s="43"/>
      <c r="O25" s="42"/>
      <c r="P25" s="42"/>
      <c r="Q25" s="42"/>
      <c r="R25" s="42"/>
      <c r="S25" s="42"/>
      <c r="T25" s="42"/>
    </row>
    <row r="26" spans="1:20" ht="12.75">
      <c r="A26" s="12"/>
      <c r="B26" s="214"/>
      <c r="C26" s="12" t="s">
        <v>161</v>
      </c>
      <c r="D26" s="214"/>
      <c r="E26" s="214"/>
      <c r="F26" s="214"/>
      <c r="H26" s="18"/>
      <c r="I26" s="18"/>
      <c r="J26" s="38"/>
      <c r="K26" s="18"/>
      <c r="L26" s="16"/>
      <c r="M26" s="43"/>
      <c r="N26" s="43"/>
      <c r="O26" s="42"/>
      <c r="P26" s="42"/>
      <c r="Q26" s="42"/>
      <c r="R26" s="42"/>
      <c r="S26" s="42"/>
      <c r="T26" s="42"/>
    </row>
    <row r="27" spans="1:20" ht="12.75">
      <c r="A27" s="12"/>
      <c r="B27" s="214"/>
      <c r="C27" s="214"/>
      <c r="D27" s="214"/>
      <c r="E27" s="214"/>
      <c r="F27" s="214"/>
      <c r="H27" s="18"/>
      <c r="I27" s="18"/>
      <c r="J27" s="38"/>
      <c r="K27" s="18"/>
      <c r="L27" s="16"/>
      <c r="M27" s="43"/>
      <c r="N27" s="43"/>
      <c r="O27" s="42"/>
      <c r="P27" s="42"/>
      <c r="Q27" s="42"/>
      <c r="R27" s="42"/>
      <c r="S27" s="42"/>
      <c r="T27" s="42"/>
    </row>
    <row r="28" spans="1:20" ht="12.75">
      <c r="A28" s="12"/>
      <c r="B28" s="215"/>
      <c r="C28" s="12"/>
      <c r="D28" s="214"/>
      <c r="E28" s="214"/>
      <c r="F28" s="214"/>
      <c r="H28" s="18"/>
      <c r="I28" s="18"/>
      <c r="J28" s="38"/>
      <c r="K28" s="18"/>
      <c r="L28" s="16"/>
      <c r="M28" s="43"/>
      <c r="N28" s="43"/>
      <c r="O28" s="42"/>
      <c r="P28" s="42"/>
      <c r="Q28" s="42"/>
      <c r="R28" s="42"/>
      <c r="S28" s="42"/>
      <c r="T28" s="42"/>
    </row>
    <row r="29" spans="1:20" ht="12.75">
      <c r="A29" s="12"/>
      <c r="B29" s="215" t="s">
        <v>153</v>
      </c>
      <c r="C29" s="215"/>
      <c r="D29" s="214"/>
      <c r="E29" s="214"/>
      <c r="F29" s="214"/>
      <c r="H29" s="18"/>
      <c r="I29" s="18"/>
      <c r="J29" s="38"/>
      <c r="K29" s="18"/>
      <c r="L29" s="16"/>
      <c r="M29" s="43"/>
      <c r="N29" s="43"/>
      <c r="O29" s="42"/>
      <c r="P29" s="42"/>
      <c r="Q29" s="42"/>
      <c r="R29" s="42"/>
      <c r="S29" s="42"/>
      <c r="T29" s="42"/>
    </row>
    <row r="30" spans="1:20" ht="12.75">
      <c r="A30" s="12"/>
      <c r="B30" s="215"/>
      <c r="C30" s="215" t="s">
        <v>154</v>
      </c>
      <c r="D30" s="214"/>
      <c r="E30" s="214"/>
      <c r="F30" s="214"/>
      <c r="H30" s="18"/>
      <c r="I30" s="18"/>
      <c r="J30" s="38"/>
      <c r="K30" s="18"/>
      <c r="L30" s="16"/>
      <c r="M30" s="43"/>
      <c r="N30" s="43"/>
      <c r="O30" s="42"/>
      <c r="P30" s="42"/>
      <c r="Q30" s="42"/>
      <c r="R30" s="42"/>
      <c r="S30" s="42"/>
      <c r="T30" s="42"/>
    </row>
    <row r="31" spans="1:20" ht="12.75">
      <c r="A31" s="12"/>
      <c r="B31" s="214"/>
      <c r="C31" s="12" t="s">
        <v>155</v>
      </c>
      <c r="D31" s="214"/>
      <c r="E31" s="214"/>
      <c r="F31" s="214"/>
      <c r="H31" s="18"/>
      <c r="I31" s="18"/>
      <c r="J31" s="38"/>
      <c r="K31" s="18"/>
      <c r="L31" s="16"/>
      <c r="M31" s="43"/>
      <c r="N31" s="43"/>
      <c r="O31" s="42"/>
      <c r="P31" s="42"/>
      <c r="Q31" s="42"/>
      <c r="R31" s="42"/>
      <c r="S31" s="42"/>
      <c r="T31" s="42"/>
    </row>
    <row r="32" spans="1:20" ht="12.75">
      <c r="A32" s="12"/>
      <c r="B32" s="214"/>
      <c r="C32" s="214" t="s">
        <v>156</v>
      </c>
      <c r="D32" s="214"/>
      <c r="E32" s="214"/>
      <c r="F32" s="214"/>
      <c r="H32" s="18"/>
      <c r="I32" s="18"/>
      <c r="J32" s="38"/>
      <c r="K32" s="18"/>
      <c r="L32" s="16"/>
      <c r="M32" s="43"/>
      <c r="N32" s="43"/>
      <c r="O32" s="50"/>
      <c r="P32" s="50"/>
      <c r="Q32" s="50"/>
      <c r="R32" s="50"/>
      <c r="S32" s="50"/>
      <c r="T32" s="50"/>
    </row>
    <row r="33" spans="1:20" ht="12.75">
      <c r="A33" s="12"/>
      <c r="B33" s="214"/>
      <c r="C33" s="214" t="s">
        <v>152</v>
      </c>
      <c r="D33" s="214"/>
      <c r="E33" s="214"/>
      <c r="F33" s="214"/>
      <c r="H33" s="18"/>
      <c r="I33" s="18"/>
      <c r="J33" s="38"/>
      <c r="K33" s="18"/>
      <c r="L33" s="16"/>
      <c r="M33" s="43"/>
      <c r="N33" s="43"/>
      <c r="O33" s="50"/>
      <c r="P33" s="50"/>
      <c r="Q33" s="50"/>
      <c r="R33" s="50"/>
      <c r="S33" s="50"/>
      <c r="T33" s="50"/>
    </row>
    <row r="34" spans="1:20" ht="12.75">
      <c r="A34" s="12"/>
      <c r="B34" s="215"/>
      <c r="C34" s="215"/>
      <c r="D34" s="214"/>
      <c r="E34" s="214"/>
      <c r="F34" s="214"/>
      <c r="H34" s="18"/>
      <c r="I34" s="18"/>
      <c r="J34" s="219"/>
      <c r="K34" s="18"/>
      <c r="L34" s="16"/>
      <c r="M34" s="43"/>
      <c r="N34" s="43"/>
      <c r="O34" s="50"/>
      <c r="P34" s="50"/>
      <c r="Q34" s="50"/>
      <c r="R34" s="50"/>
      <c r="S34" s="50"/>
      <c r="T34" s="50"/>
    </row>
    <row r="35" spans="1:20" ht="12.75">
      <c r="A35" s="12"/>
      <c r="B35" s="214"/>
      <c r="C35" s="214"/>
      <c r="D35" s="214"/>
      <c r="E35" s="214"/>
      <c r="F35" s="214"/>
      <c r="H35" s="18"/>
      <c r="I35" s="18"/>
      <c r="J35" s="18"/>
      <c r="K35" s="18"/>
      <c r="L35" s="16"/>
      <c r="M35" s="43"/>
      <c r="N35" s="43"/>
      <c r="O35" s="50"/>
      <c r="P35" s="50"/>
      <c r="Q35" s="50"/>
      <c r="R35" s="50"/>
      <c r="S35" s="50"/>
      <c r="T35" s="50"/>
    </row>
    <row r="36" spans="1:20" ht="12.75">
      <c r="A36" s="12"/>
      <c r="B36" s="215"/>
      <c r="C36" s="215"/>
      <c r="D36" s="215"/>
      <c r="E36" s="214"/>
      <c r="F36" s="214"/>
      <c r="H36" s="18"/>
      <c r="I36" s="18"/>
      <c r="J36" s="18"/>
      <c r="K36" s="18"/>
      <c r="L36" s="16"/>
      <c r="M36" s="43"/>
      <c r="N36" s="43"/>
      <c r="O36" s="50"/>
      <c r="P36" s="50"/>
      <c r="Q36" s="50"/>
      <c r="R36" s="50"/>
      <c r="S36" s="50"/>
      <c r="T36" s="50"/>
    </row>
    <row r="37" spans="1:20" ht="12.75">
      <c r="A37" s="12"/>
      <c r="B37" s="214"/>
      <c r="C37" s="214"/>
      <c r="D37" s="214"/>
      <c r="E37" s="214"/>
      <c r="F37" s="214"/>
      <c r="H37" s="18"/>
      <c r="I37" s="18"/>
      <c r="J37" s="18"/>
      <c r="K37" s="18"/>
      <c r="L37" s="16"/>
      <c r="M37" s="43"/>
      <c r="N37" s="43"/>
      <c r="O37" s="223"/>
      <c r="P37" s="223"/>
      <c r="Q37" s="223"/>
      <c r="R37" s="223"/>
      <c r="S37" s="223"/>
      <c r="T37" s="223"/>
    </row>
    <row r="38" spans="1:20" ht="12.75">
      <c r="A38" s="12"/>
      <c r="B38" s="214" t="s">
        <v>150</v>
      </c>
      <c r="C38" s="214"/>
      <c r="D38" s="214"/>
      <c r="E38" s="214"/>
      <c r="F38" s="214"/>
      <c r="H38" s="18"/>
      <c r="I38" s="18"/>
      <c r="J38" s="18"/>
      <c r="K38" s="18"/>
      <c r="L38" s="16"/>
      <c r="M38" s="43"/>
      <c r="N38" s="43"/>
      <c r="O38" s="223"/>
      <c r="P38" s="223"/>
      <c r="Q38" s="223"/>
      <c r="R38" s="223"/>
      <c r="S38" s="223"/>
      <c r="T38" s="223"/>
    </row>
    <row r="39" spans="1:20" ht="12.75">
      <c r="A39" s="12"/>
      <c r="B39" s="214"/>
      <c r="C39" s="214" t="s">
        <v>162</v>
      </c>
      <c r="D39" s="214"/>
      <c r="E39" s="214"/>
      <c r="F39" s="214"/>
      <c r="H39" s="18"/>
      <c r="I39" s="18"/>
      <c r="J39" s="18"/>
      <c r="K39" s="18"/>
      <c r="L39" s="16"/>
      <c r="M39" s="43"/>
      <c r="N39" s="43"/>
      <c r="O39" s="223"/>
      <c r="P39" s="223"/>
      <c r="Q39" s="223"/>
      <c r="R39" s="223"/>
      <c r="S39" s="223"/>
      <c r="T39" s="223"/>
    </row>
    <row r="40" spans="1:20" ht="12.75">
      <c r="A40" s="12"/>
      <c r="B40" s="215"/>
      <c r="C40" s="12" t="s">
        <v>151</v>
      </c>
      <c r="D40" s="214"/>
      <c r="E40" s="214"/>
      <c r="F40" s="214"/>
      <c r="H40" s="18"/>
      <c r="I40" s="18"/>
      <c r="J40" s="18"/>
      <c r="K40" s="18"/>
      <c r="L40" s="16"/>
      <c r="M40" s="43"/>
      <c r="N40" s="43"/>
      <c r="O40" s="223"/>
      <c r="P40" s="223"/>
      <c r="Q40" s="223"/>
      <c r="R40" s="223"/>
      <c r="S40" s="223"/>
      <c r="T40" s="223"/>
    </row>
    <row r="41" spans="1:20" ht="12.75">
      <c r="A41" s="12"/>
      <c r="B41" s="215" t="s">
        <v>153</v>
      </c>
      <c r="C41" s="215"/>
      <c r="D41" s="214"/>
      <c r="E41" s="214"/>
      <c r="F41" s="214"/>
      <c r="H41" s="18"/>
      <c r="I41" s="18"/>
      <c r="J41" s="18"/>
      <c r="K41" s="18"/>
      <c r="L41" s="16"/>
      <c r="M41" s="43"/>
      <c r="N41" s="43"/>
      <c r="O41" s="223"/>
      <c r="P41" s="223"/>
      <c r="Q41" s="223"/>
      <c r="R41" s="223"/>
      <c r="S41" s="223"/>
      <c r="T41" s="223"/>
    </row>
    <row r="42" spans="1:20" ht="12.75">
      <c r="A42" s="12"/>
      <c r="B42" s="215"/>
      <c r="C42" s="215" t="s">
        <v>154</v>
      </c>
      <c r="D42" s="214"/>
      <c r="E42" s="214"/>
      <c r="F42" s="214"/>
      <c r="H42" s="12"/>
      <c r="I42" s="12"/>
      <c r="J42" s="12"/>
      <c r="K42" s="12"/>
      <c r="M42" s="42"/>
      <c r="N42" s="43"/>
      <c r="O42" s="223"/>
      <c r="P42" s="223"/>
      <c r="Q42" s="223"/>
      <c r="R42" s="223"/>
      <c r="S42" s="223"/>
      <c r="T42" s="223"/>
    </row>
    <row r="43" spans="1:20" ht="12.75">
      <c r="A43" s="12"/>
      <c r="B43" s="214"/>
      <c r="C43" s="12" t="s">
        <v>155</v>
      </c>
      <c r="D43" s="214"/>
      <c r="E43" s="214"/>
      <c r="F43" s="214"/>
      <c r="H43" s="12"/>
      <c r="I43" s="12"/>
      <c r="J43" s="12"/>
      <c r="K43" s="12"/>
      <c r="M43" s="42"/>
      <c r="N43" s="43"/>
      <c r="O43" s="223"/>
      <c r="P43" s="223"/>
      <c r="Q43" s="224"/>
      <c r="R43" s="224"/>
      <c r="S43" s="224"/>
      <c r="T43" s="224"/>
    </row>
    <row r="44" spans="1:20" ht="12.75">
      <c r="A44" s="12"/>
      <c r="B44" s="214"/>
      <c r="C44" s="214" t="s">
        <v>156</v>
      </c>
      <c r="D44" s="214"/>
      <c r="E44" s="214"/>
      <c r="F44" s="214"/>
      <c r="M44" s="42"/>
      <c r="N44" s="43"/>
      <c r="O44" s="225"/>
      <c r="P44" s="225"/>
      <c r="Q44" s="225"/>
      <c r="R44" s="225"/>
      <c r="S44" s="225"/>
      <c r="T44" s="225"/>
    </row>
    <row r="45" spans="1:20" ht="12.75">
      <c r="A45" s="12"/>
      <c r="B45" s="214"/>
      <c r="C45" s="214" t="s">
        <v>163</v>
      </c>
      <c r="D45" s="214"/>
      <c r="E45" s="214"/>
      <c r="F45" s="214"/>
      <c r="M45" s="42"/>
      <c r="N45" s="43"/>
      <c r="O45" s="42"/>
      <c r="P45" s="42"/>
      <c r="Q45" s="42"/>
      <c r="R45" s="42"/>
      <c r="S45" s="42"/>
      <c r="T45" s="42"/>
    </row>
    <row r="46" spans="1:20" ht="12.75">
      <c r="A46" s="12"/>
      <c r="B46" s="215"/>
      <c r="C46" s="215"/>
      <c r="D46" s="214"/>
      <c r="E46" s="214"/>
      <c r="F46" s="214"/>
      <c r="M46" s="42"/>
      <c r="N46" s="42"/>
      <c r="O46" s="42"/>
      <c r="P46" s="42"/>
      <c r="Q46" s="42"/>
      <c r="R46" s="42"/>
      <c r="S46" s="42"/>
      <c r="T46" s="42"/>
    </row>
    <row r="47" spans="1:6" ht="12.75">
      <c r="A47" s="12"/>
      <c r="B47" s="71"/>
      <c r="C47" s="71"/>
      <c r="D47" s="71"/>
      <c r="E47" s="12"/>
      <c r="F47" s="12"/>
    </row>
    <row r="48" spans="1:6" ht="12.75">
      <c r="A48" s="12"/>
      <c r="B48" s="71"/>
      <c r="C48" s="71"/>
      <c r="D48" s="71"/>
      <c r="E48" s="12"/>
      <c r="F48" s="12"/>
    </row>
    <row r="49" spans="1:6" ht="12.75">
      <c r="A49" s="12"/>
      <c r="B49" s="71"/>
      <c r="C49" s="71"/>
      <c r="D49" s="71"/>
      <c r="E49" s="12"/>
      <c r="F49" s="12"/>
    </row>
    <row r="50" spans="1:6" ht="12.75">
      <c r="A50" s="12"/>
      <c r="B50" s="71"/>
      <c r="C50" s="71"/>
      <c r="D50" s="71"/>
      <c r="E50" s="12"/>
      <c r="F50" s="12"/>
    </row>
    <row r="51" spans="1:6" ht="12.75">
      <c r="A51" s="12"/>
      <c r="B51" s="213"/>
      <c r="C51" s="71"/>
      <c r="D51" s="213"/>
      <c r="E51" s="12"/>
      <c r="F51" s="12"/>
    </row>
    <row r="52" spans="1:6" ht="12.75">
      <c r="A52" s="12"/>
      <c r="B52" s="213"/>
      <c r="C52" s="71"/>
      <c r="D52" s="213"/>
      <c r="E52" s="12"/>
      <c r="F52" s="12"/>
    </row>
    <row r="53" spans="1:6" ht="12.75">
      <c r="A53" s="12"/>
      <c r="B53" s="213"/>
      <c r="C53" s="71"/>
      <c r="D53" s="213"/>
      <c r="E53" s="12"/>
      <c r="F53" s="12"/>
    </row>
    <row r="54" spans="1:6" ht="12.75">
      <c r="A54" s="12"/>
      <c r="B54" s="213"/>
      <c r="C54" s="71"/>
      <c r="D54" s="213"/>
      <c r="E54" s="12"/>
      <c r="F54" s="12"/>
    </row>
    <row r="55" spans="1:6" ht="12.75">
      <c r="A55" s="12"/>
      <c r="B55" s="213"/>
      <c r="C55" s="71"/>
      <c r="D55" s="213"/>
      <c r="E55" s="12"/>
      <c r="F55" s="12"/>
    </row>
    <row r="56" spans="1:6" ht="12.75">
      <c r="A56" s="12"/>
      <c r="B56" s="213"/>
      <c r="C56" s="12"/>
      <c r="D56" s="213"/>
      <c r="E56" s="12"/>
      <c r="F56" s="12"/>
    </row>
    <row r="57" spans="1:6" ht="12.75">
      <c r="A57" s="12"/>
      <c r="B57" s="12"/>
      <c r="C57" s="12"/>
      <c r="D57" s="12"/>
      <c r="E57" s="12"/>
      <c r="F57" s="12"/>
    </row>
    <row r="58" spans="1:6" ht="12.75">
      <c r="A58" s="12"/>
      <c r="B58" s="12"/>
      <c r="C58" s="12"/>
      <c r="D58" s="12"/>
      <c r="E58" s="12"/>
      <c r="F58" s="12"/>
    </row>
    <row r="59" spans="1:6" ht="12.75">
      <c r="A59" s="12"/>
      <c r="B59" s="213"/>
      <c r="C59" s="12"/>
      <c r="D59" s="213"/>
      <c r="E59" s="12"/>
      <c r="F59" s="12"/>
    </row>
    <row r="60" spans="1:6" ht="12.75">
      <c r="A60" s="12"/>
      <c r="B60" s="12"/>
      <c r="C60" s="12"/>
      <c r="D60" s="12"/>
      <c r="E60" s="12"/>
      <c r="F60" s="12"/>
    </row>
    <row r="61" spans="1:6" ht="12.75">
      <c r="A61" s="12"/>
      <c r="B61" s="12"/>
      <c r="C61" s="12"/>
      <c r="D61" s="4" t="s">
        <v>173</v>
      </c>
      <c r="E61" s="12"/>
      <c r="F61" s="12"/>
    </row>
    <row r="63" spans="2:6" ht="14.25">
      <c r="B63" s="266"/>
      <c r="C63" s="266"/>
      <c r="D63" s="266" t="s">
        <v>174</v>
      </c>
      <c r="E63" s="266"/>
      <c r="F63" s="266"/>
    </row>
    <row r="64" spans="1:6" ht="15.75">
      <c r="A64" s="177"/>
      <c r="B64" s="589"/>
      <c r="C64" s="589"/>
      <c r="D64" s="589"/>
      <c r="E64" s="589"/>
      <c r="F64" s="266"/>
    </row>
    <row r="65" spans="1:6" ht="15">
      <c r="A65" s="177"/>
      <c r="B65" s="267"/>
      <c r="C65" s="267"/>
      <c r="D65" s="267"/>
      <c r="E65" s="267"/>
      <c r="F65" s="266"/>
    </row>
    <row r="66" spans="1:6" ht="15">
      <c r="A66" s="177"/>
      <c r="B66" s="267" t="s">
        <v>175</v>
      </c>
      <c r="C66" s="267"/>
      <c r="D66" s="267" t="s">
        <v>176</v>
      </c>
      <c r="E66" s="267"/>
      <c r="F66" s="266"/>
    </row>
    <row r="67" spans="1:6" ht="15">
      <c r="A67" s="177"/>
      <c r="B67" s="267" t="s">
        <v>177</v>
      </c>
      <c r="C67" s="267"/>
      <c r="D67" s="267"/>
      <c r="E67" s="267"/>
      <c r="F67" s="266"/>
    </row>
    <row r="68" spans="1:6" ht="15">
      <c r="A68" s="177"/>
      <c r="B68" s="267" t="s">
        <v>178</v>
      </c>
      <c r="C68" s="267"/>
      <c r="D68" s="267" t="s">
        <v>179</v>
      </c>
      <c r="E68" s="267"/>
      <c r="F68" s="266"/>
    </row>
    <row r="69" spans="1:6" ht="15">
      <c r="A69" s="177"/>
      <c r="B69" s="267" t="s">
        <v>180</v>
      </c>
      <c r="C69" s="267"/>
      <c r="D69" s="267"/>
      <c r="E69" s="267"/>
      <c r="F69" s="266"/>
    </row>
    <row r="70" spans="1:6" ht="15">
      <c r="A70" s="177"/>
      <c r="B70" s="267" t="s">
        <v>181</v>
      </c>
      <c r="C70" s="267"/>
      <c r="D70" s="267" t="s">
        <v>179</v>
      </c>
      <c r="E70" s="267"/>
      <c r="F70" s="266"/>
    </row>
    <row r="71" spans="1:6" ht="15">
      <c r="A71" s="177"/>
      <c r="B71" s="267" t="s">
        <v>182</v>
      </c>
      <c r="C71" s="267"/>
      <c r="D71" s="267" t="s">
        <v>176</v>
      </c>
      <c r="E71" s="267"/>
      <c r="F71" s="266"/>
    </row>
    <row r="72" spans="1:6" ht="15">
      <c r="A72" s="177"/>
      <c r="B72" s="267" t="s">
        <v>183</v>
      </c>
      <c r="C72" s="267"/>
      <c r="D72" s="267" t="s">
        <v>179</v>
      </c>
      <c r="E72" s="267"/>
      <c r="F72" s="266"/>
    </row>
    <row r="73" spans="1:6" ht="15">
      <c r="A73" s="177"/>
      <c r="B73" s="267" t="s">
        <v>184</v>
      </c>
      <c r="C73" s="267"/>
      <c r="D73" s="267" t="s">
        <v>176</v>
      </c>
      <c r="E73" s="267"/>
      <c r="F73" s="266"/>
    </row>
    <row r="74" spans="1:6" ht="15">
      <c r="A74" s="177"/>
      <c r="B74" s="267" t="s">
        <v>185</v>
      </c>
      <c r="C74" s="267"/>
      <c r="D74" s="267" t="s">
        <v>186</v>
      </c>
      <c r="E74" s="267"/>
      <c r="F74" s="266"/>
    </row>
    <row r="75" spans="1:6" ht="15">
      <c r="A75" s="177"/>
      <c r="B75" s="267" t="s">
        <v>187</v>
      </c>
      <c r="C75" s="267"/>
      <c r="D75" s="267" t="s">
        <v>176</v>
      </c>
      <c r="E75" s="267"/>
      <c r="F75" s="266"/>
    </row>
    <row r="76" spans="1:6" ht="15">
      <c r="A76" s="177"/>
      <c r="B76" s="267" t="s">
        <v>188</v>
      </c>
      <c r="C76" s="267"/>
      <c r="D76" s="267" t="s">
        <v>176</v>
      </c>
      <c r="E76" s="267"/>
      <c r="F76" s="266"/>
    </row>
    <row r="77" spans="1:6" ht="15">
      <c r="A77" s="177"/>
      <c r="B77" s="267" t="s">
        <v>189</v>
      </c>
      <c r="C77" s="267"/>
      <c r="D77" s="267" t="s">
        <v>176</v>
      </c>
      <c r="E77" s="267"/>
      <c r="F77" s="266"/>
    </row>
    <row r="78" spans="1:6" ht="14.25">
      <c r="A78" s="12"/>
      <c r="B78" s="267" t="s">
        <v>190</v>
      </c>
      <c r="C78" s="267"/>
      <c r="D78" s="267"/>
      <c r="E78" s="267"/>
      <c r="F78" s="266"/>
    </row>
    <row r="79" spans="2:6" ht="14.25">
      <c r="B79" s="267" t="s">
        <v>191</v>
      </c>
      <c r="C79" s="267"/>
      <c r="D79" s="267" t="s">
        <v>192</v>
      </c>
      <c r="E79" s="267"/>
      <c r="F79" s="266"/>
    </row>
    <row r="80" spans="2:6" ht="14.25">
      <c r="B80" s="267" t="s">
        <v>193</v>
      </c>
      <c r="C80" s="267"/>
      <c r="D80" s="267" t="s">
        <v>194</v>
      </c>
      <c r="E80" s="267"/>
      <c r="F80" s="266"/>
    </row>
    <row r="81" spans="2:6" ht="14.25">
      <c r="B81" s="267" t="s">
        <v>195</v>
      </c>
      <c r="C81" s="267"/>
      <c r="D81" s="267" t="s">
        <v>176</v>
      </c>
      <c r="E81" s="267"/>
      <c r="F81" s="266"/>
    </row>
    <row r="82" spans="2:6" ht="14.25">
      <c r="B82" s="267" t="s">
        <v>196</v>
      </c>
      <c r="C82" s="267"/>
      <c r="D82" s="267" t="s">
        <v>176</v>
      </c>
      <c r="E82" s="267"/>
      <c r="F82" s="266"/>
    </row>
    <row r="83" spans="2:6" ht="14.25">
      <c r="B83" s="267"/>
      <c r="C83" s="267"/>
      <c r="D83" s="267"/>
      <c r="E83" s="267"/>
      <c r="F83" s="266"/>
    </row>
    <row r="84" spans="2:6" ht="14.25">
      <c r="B84" s="266"/>
      <c r="C84" s="266"/>
      <c r="D84" s="266"/>
      <c r="E84" s="266"/>
      <c r="F84" s="266"/>
    </row>
    <row r="85" spans="2:6" ht="14.25">
      <c r="B85" s="266"/>
      <c r="C85" s="266"/>
      <c r="D85" s="266"/>
      <c r="E85" s="266"/>
      <c r="F85" s="266"/>
    </row>
    <row r="86" spans="2:6" ht="14.25">
      <c r="B86" s="266" t="s">
        <v>200</v>
      </c>
      <c r="C86" s="266"/>
      <c r="D86" s="266"/>
      <c r="E86" s="266"/>
      <c r="F86" s="266"/>
    </row>
    <row r="87" spans="2:6" ht="14.25">
      <c r="B87" s="266" t="s">
        <v>199</v>
      </c>
      <c r="C87" s="266"/>
      <c r="D87" s="266"/>
      <c r="E87" s="266"/>
      <c r="F87" s="266"/>
    </row>
    <row r="88" spans="2:6" ht="14.25">
      <c r="B88" s="266" t="s">
        <v>197</v>
      </c>
      <c r="C88" s="266"/>
      <c r="D88" s="266"/>
      <c r="E88" s="266"/>
      <c r="F88" s="266"/>
    </row>
    <row r="89" ht="14.25">
      <c r="B89" s="266" t="s">
        <v>198</v>
      </c>
    </row>
    <row r="97" spans="5:6" ht="12.75">
      <c r="E97" s="16"/>
      <c r="F97" s="16"/>
    </row>
    <row r="98" spans="5:6" ht="12.75">
      <c r="E98" s="16"/>
      <c r="F98" s="16"/>
    </row>
    <row r="99" spans="5:6" ht="12.75">
      <c r="E99" s="16"/>
      <c r="F99" s="16"/>
    </row>
    <row r="100" spans="5:6" ht="12.75">
      <c r="E100" s="16"/>
      <c r="F100" s="16"/>
    </row>
    <row r="104" spans="2:6" ht="12.75">
      <c r="B104" s="16"/>
      <c r="C104" s="16"/>
      <c r="D104" s="16"/>
      <c r="E104" s="16"/>
      <c r="F104" s="16"/>
    </row>
    <row r="105" spans="2:6" ht="12.75">
      <c r="B105" s="16"/>
      <c r="C105" s="16"/>
      <c r="D105" s="16"/>
      <c r="E105" s="16"/>
      <c r="F105" s="16"/>
    </row>
    <row r="106" spans="2:6" ht="12.75">
      <c r="B106" s="16"/>
      <c r="C106" s="16"/>
      <c r="D106" s="16"/>
      <c r="E106" s="16"/>
      <c r="F106" s="16"/>
    </row>
    <row r="107" spans="2:6" ht="12.75">
      <c r="B107" s="16"/>
      <c r="C107" s="16"/>
      <c r="D107" s="16"/>
      <c r="E107" s="16"/>
      <c r="F107" s="16"/>
    </row>
    <row r="108" spans="2:6" ht="12.75">
      <c r="B108" s="16"/>
      <c r="C108" s="16"/>
      <c r="D108" s="16"/>
      <c r="E108" s="16"/>
      <c r="F108" s="16"/>
    </row>
    <row r="109" spans="2:6" ht="12.75">
      <c r="B109" s="16"/>
      <c r="C109" s="16"/>
      <c r="D109" s="16"/>
      <c r="E109" s="16"/>
      <c r="F109" s="16"/>
    </row>
    <row r="110" spans="2:6" ht="12.75">
      <c r="B110" s="16"/>
      <c r="C110" s="16"/>
      <c r="D110" s="16"/>
      <c r="E110" s="16"/>
      <c r="F110" s="16"/>
    </row>
    <row r="111" spans="2:6" ht="12.75">
      <c r="B111" s="16"/>
      <c r="C111" s="16"/>
      <c r="D111" s="16"/>
      <c r="E111" s="16"/>
      <c r="F111" s="16"/>
    </row>
    <row r="112" spans="2:6" ht="12.75">
      <c r="B112" s="16"/>
      <c r="C112" s="16"/>
      <c r="D112" s="16"/>
      <c r="E112" s="16"/>
      <c r="F112" s="16"/>
    </row>
    <row r="113" spans="2:6" ht="12.75">
      <c r="B113" s="16"/>
      <c r="C113" s="16"/>
      <c r="D113" s="16"/>
      <c r="E113" s="16"/>
      <c r="F113" s="16"/>
    </row>
    <row r="114" spans="2:6" ht="12.75">
      <c r="B114" s="16"/>
      <c r="C114" s="16"/>
      <c r="D114" s="16"/>
      <c r="E114" s="16"/>
      <c r="F114" s="16"/>
    </row>
    <row r="115" spans="2:6" ht="12.75">
      <c r="B115" s="16"/>
      <c r="C115" s="16"/>
      <c r="D115" s="16"/>
      <c r="E115" s="16"/>
      <c r="F115" s="16"/>
    </row>
    <row r="116" spans="2:6" ht="12.75">
      <c r="B116" s="16"/>
      <c r="C116" s="16"/>
      <c r="D116" s="16"/>
      <c r="E116" s="16"/>
      <c r="F116" s="16"/>
    </row>
    <row r="117" spans="5:6" ht="12.75">
      <c r="E117" s="16"/>
      <c r="F117" s="16"/>
    </row>
    <row r="118" ht="12.75">
      <c r="D118" s="4"/>
    </row>
    <row r="119" spans="2:6" ht="15">
      <c r="B119" s="266"/>
      <c r="C119" s="270"/>
      <c r="D119" s="268"/>
      <c r="E119" s="266"/>
      <c r="F119" s="266"/>
    </row>
    <row r="120" spans="2:6" ht="14.25">
      <c r="B120" s="266"/>
      <c r="C120" s="266"/>
      <c r="D120" s="266"/>
      <c r="E120" s="271"/>
      <c r="F120" s="271"/>
    </row>
    <row r="121" spans="2:6" ht="14.25">
      <c r="B121" s="266"/>
      <c r="C121" s="266"/>
      <c r="D121" s="266"/>
      <c r="E121" s="271"/>
      <c r="F121" s="271"/>
    </row>
    <row r="122" spans="1:5" ht="14.25">
      <c r="A122" s="266"/>
      <c r="B122" s="266"/>
      <c r="C122" s="266"/>
      <c r="D122" s="271"/>
      <c r="E122" s="271"/>
    </row>
    <row r="123" spans="1:5" ht="14.25">
      <c r="A123" s="266"/>
      <c r="B123" s="266"/>
      <c r="C123" s="266"/>
      <c r="D123" s="271"/>
      <c r="E123" s="271"/>
    </row>
    <row r="124" spans="1:5" ht="14.25">
      <c r="A124" s="266"/>
      <c r="B124" s="266"/>
      <c r="C124" s="266"/>
      <c r="D124" s="266"/>
      <c r="E124" s="266"/>
    </row>
    <row r="125" spans="1:6" ht="14.25">
      <c r="A125" s="266"/>
      <c r="B125" s="272"/>
      <c r="C125" s="272"/>
      <c r="D125" s="272"/>
      <c r="E125" s="272"/>
      <c r="F125" s="269"/>
    </row>
    <row r="126" spans="1:6" ht="14.25">
      <c r="A126" s="266"/>
      <c r="B126" s="272"/>
      <c r="C126" s="272"/>
      <c r="D126" s="272"/>
      <c r="E126" s="272"/>
      <c r="F126" s="269"/>
    </row>
    <row r="127" spans="1:6" ht="14.25">
      <c r="A127" s="266"/>
      <c r="B127" s="272"/>
      <c r="C127" s="272"/>
      <c r="D127" s="272"/>
      <c r="E127" s="272"/>
      <c r="F127" s="269"/>
    </row>
    <row r="128" spans="1:6" ht="14.25">
      <c r="A128" s="271"/>
      <c r="B128" s="272"/>
      <c r="C128" s="272"/>
      <c r="D128" s="272"/>
      <c r="E128" s="272"/>
      <c r="F128" s="269"/>
    </row>
    <row r="129" spans="1:6" ht="14.25">
      <c r="A129" s="266"/>
      <c r="B129" s="272"/>
      <c r="C129" s="272"/>
      <c r="D129" s="272"/>
      <c r="E129" s="272"/>
      <c r="F129" s="269"/>
    </row>
    <row r="130" spans="1:6" ht="14.25">
      <c r="A130" s="266"/>
      <c r="B130" s="272"/>
      <c r="C130" s="272"/>
      <c r="D130" s="272"/>
      <c r="E130" s="272"/>
      <c r="F130" s="269"/>
    </row>
    <row r="131" spans="1:6" ht="14.25">
      <c r="A131" s="266"/>
      <c r="B131" s="272"/>
      <c r="C131" s="272"/>
      <c r="D131" s="272"/>
      <c r="E131" s="272"/>
      <c r="F131" s="269"/>
    </row>
    <row r="132" spans="1:6" ht="14.25">
      <c r="A132" s="266"/>
      <c r="B132" s="272"/>
      <c r="C132" s="272"/>
      <c r="D132" s="272"/>
      <c r="E132" s="272"/>
      <c r="F132" s="269"/>
    </row>
    <row r="133" spans="1:6" ht="14.25">
      <c r="A133" s="266"/>
      <c r="B133" s="272"/>
      <c r="C133" s="272"/>
      <c r="D133" s="272"/>
      <c r="E133" s="272"/>
      <c r="F133" s="269"/>
    </row>
    <row r="134" spans="2:6" ht="14.25">
      <c r="B134" s="272"/>
      <c r="C134" s="272"/>
      <c r="D134" s="272"/>
      <c r="E134" s="272"/>
      <c r="F134" s="272"/>
    </row>
    <row r="135" spans="2:6" ht="12.75">
      <c r="B135" s="269"/>
      <c r="C135" s="269"/>
      <c r="D135" s="269"/>
      <c r="E135" s="269"/>
      <c r="F135" s="269"/>
    </row>
    <row r="136" spans="2:6" ht="14.25">
      <c r="B136" s="269"/>
      <c r="C136" s="269"/>
      <c r="D136" s="269"/>
      <c r="E136" s="272"/>
      <c r="F136" s="269"/>
    </row>
    <row r="137" spans="2:6" ht="14.25">
      <c r="B137" s="269"/>
      <c r="C137" s="269"/>
      <c r="D137" s="269"/>
      <c r="E137" s="272"/>
      <c r="F137" s="269"/>
    </row>
    <row r="138" spans="2:6" ht="14.25">
      <c r="B138" s="269"/>
      <c r="C138" s="269"/>
      <c r="D138" s="269"/>
      <c r="E138" s="272"/>
      <c r="F138" s="269"/>
    </row>
    <row r="139" spans="2:6" ht="12.75">
      <c r="B139" s="269"/>
      <c r="C139" s="269"/>
      <c r="D139" s="269"/>
      <c r="E139" s="269"/>
      <c r="F139" s="269"/>
    </row>
    <row r="140" spans="2:6" ht="12.75">
      <c r="B140" s="269"/>
      <c r="C140" s="269"/>
      <c r="D140" s="269"/>
      <c r="E140" s="269"/>
      <c r="F140" s="269"/>
    </row>
    <row r="141" spans="2:6" ht="12.75">
      <c r="B141" s="16"/>
      <c r="C141" s="16"/>
      <c r="D141" s="16"/>
      <c r="E141" s="16"/>
      <c r="F141" s="16"/>
    </row>
    <row r="142" spans="2:6" ht="12.75">
      <c r="B142" s="16"/>
      <c r="C142" s="16"/>
      <c r="D142" s="16"/>
      <c r="E142" s="16"/>
      <c r="F142" s="16"/>
    </row>
    <row r="156" spans="3:4" ht="12.75">
      <c r="C156" s="15"/>
      <c r="D156" s="15"/>
    </row>
    <row r="158" ht="12.75">
      <c r="B158" s="15"/>
    </row>
    <row r="170" spans="2:6" ht="14.25">
      <c r="B170" s="266"/>
      <c r="C170" s="266"/>
      <c r="D170" s="266"/>
      <c r="E170" s="266"/>
      <c r="F170" s="266"/>
    </row>
    <row r="171" spans="2:6" ht="14.25">
      <c r="B171" s="266"/>
      <c r="C171" s="266"/>
      <c r="D171" s="266"/>
      <c r="E171" s="266"/>
      <c r="F171" s="266"/>
    </row>
    <row r="172" spans="2:6" ht="14.25">
      <c r="B172" s="266"/>
      <c r="C172" s="266"/>
      <c r="D172" s="266"/>
      <c r="E172" s="266"/>
      <c r="F172" s="266"/>
    </row>
    <row r="173" spans="2:6" ht="14.25">
      <c r="B173" s="266"/>
      <c r="C173" s="266"/>
      <c r="D173" s="266"/>
      <c r="E173" s="266"/>
      <c r="F173" s="266"/>
    </row>
    <row r="174" spans="2:6" ht="14.25">
      <c r="B174" s="266"/>
      <c r="C174" s="266"/>
      <c r="D174" s="266"/>
      <c r="E174" s="266"/>
      <c r="F174" s="266"/>
    </row>
    <row r="175" spans="2:6" ht="15">
      <c r="B175" s="266"/>
      <c r="C175" s="266"/>
      <c r="D175" s="266"/>
      <c r="E175" s="273"/>
      <c r="F175" s="266"/>
    </row>
    <row r="176" spans="2:6" ht="14.25">
      <c r="B176" s="266"/>
      <c r="C176" s="266"/>
      <c r="D176" s="266"/>
      <c r="E176" s="266"/>
      <c r="F176" s="266"/>
    </row>
    <row r="177" spans="2:6" ht="14.25">
      <c r="B177" s="266"/>
      <c r="C177" s="266"/>
      <c r="D177" s="266"/>
      <c r="E177" s="266"/>
      <c r="F177" s="266"/>
    </row>
    <row r="178" spans="2:6" ht="14.25">
      <c r="B178" s="266"/>
      <c r="C178" s="266"/>
      <c r="D178" s="266"/>
      <c r="E178" s="266"/>
      <c r="F178" s="266"/>
    </row>
    <row r="179" spans="2:6" ht="14.25">
      <c r="B179" s="266"/>
      <c r="C179" s="266"/>
      <c r="D179" s="266"/>
      <c r="E179" s="266"/>
      <c r="F179" s="266"/>
    </row>
    <row r="180" spans="2:6" ht="14.25">
      <c r="B180" s="266"/>
      <c r="C180" s="266"/>
      <c r="D180" s="266"/>
      <c r="E180" s="266"/>
      <c r="F180" s="266"/>
    </row>
    <row r="181" spans="2:6" ht="14.25">
      <c r="B181" s="266"/>
      <c r="C181" s="266"/>
      <c r="D181" s="266"/>
      <c r="E181" s="266"/>
      <c r="F181" s="266"/>
    </row>
    <row r="182" spans="2:6" ht="14.25">
      <c r="B182" s="266"/>
      <c r="C182" s="266"/>
      <c r="D182" s="266"/>
      <c r="E182" s="266"/>
      <c r="F182" s="266"/>
    </row>
    <row r="183" spans="2:6" ht="14.25">
      <c r="B183" s="266"/>
      <c r="C183" s="266"/>
      <c r="D183" s="266"/>
      <c r="E183" s="266"/>
      <c r="F183" s="266"/>
    </row>
    <row r="184" spans="2:6" ht="14.25">
      <c r="B184" s="266"/>
      <c r="C184" s="266"/>
      <c r="D184" s="266"/>
      <c r="E184" s="266"/>
      <c r="F184" s="266"/>
    </row>
    <row r="185" spans="2:6" ht="14.25">
      <c r="B185" s="266"/>
      <c r="C185" s="266"/>
      <c r="D185" s="266"/>
      <c r="E185" s="266"/>
      <c r="F185" s="266"/>
    </row>
    <row r="186" spans="2:6" ht="14.25">
      <c r="B186" s="266"/>
      <c r="C186" s="266"/>
      <c r="D186" s="266"/>
      <c r="E186" s="266"/>
      <c r="F186" s="266"/>
    </row>
    <row r="187" spans="2:6" ht="14.25">
      <c r="B187" s="266"/>
      <c r="C187" s="266"/>
      <c r="D187" s="266"/>
      <c r="E187" s="266"/>
      <c r="F187" s="266"/>
    </row>
    <row r="188" spans="2:6" ht="14.25">
      <c r="B188" s="266"/>
      <c r="C188" s="266"/>
      <c r="D188" s="266"/>
      <c r="E188" s="266"/>
      <c r="F188" s="266"/>
    </row>
    <row r="189" spans="2:6" ht="14.25">
      <c r="B189" s="266"/>
      <c r="C189" s="266"/>
      <c r="D189" s="266"/>
      <c r="E189" s="266"/>
      <c r="F189" s="266"/>
    </row>
    <row r="190" spans="2:6" ht="14.25">
      <c r="B190" s="266"/>
      <c r="C190" s="266"/>
      <c r="D190" s="266"/>
      <c r="E190" s="266"/>
      <c r="F190" s="266"/>
    </row>
    <row r="191" spans="2:6" ht="14.25">
      <c r="B191" s="266"/>
      <c r="C191" s="266"/>
      <c r="D191" s="266"/>
      <c r="E191" s="266"/>
      <c r="F191" s="266"/>
    </row>
    <row r="192" spans="2:6" ht="14.25">
      <c r="B192" s="266"/>
      <c r="C192" s="266"/>
      <c r="D192" s="266"/>
      <c r="E192" s="266"/>
      <c r="F192" s="266"/>
    </row>
    <row r="193" spans="2:6" ht="14.25">
      <c r="B193" s="266"/>
      <c r="C193" s="266"/>
      <c r="D193" s="266"/>
      <c r="E193" s="266"/>
      <c r="F193" s="266"/>
    </row>
    <row r="194" spans="2:6" ht="14.25">
      <c r="B194" s="266"/>
      <c r="C194" s="266"/>
      <c r="D194" s="266"/>
      <c r="E194" s="266"/>
      <c r="F194" s="266"/>
    </row>
    <row r="195" spans="2:6" ht="14.25">
      <c r="B195" s="266"/>
      <c r="C195" s="266"/>
      <c r="D195" s="266"/>
      <c r="E195" s="266"/>
      <c r="F195" s="266"/>
    </row>
    <row r="196" spans="2:6" ht="14.25">
      <c r="B196" s="266"/>
      <c r="C196" s="266"/>
      <c r="D196" s="266"/>
      <c r="E196" s="266"/>
      <c r="F196" s="266"/>
    </row>
    <row r="197" spans="2:6" ht="14.25">
      <c r="B197" s="266"/>
      <c r="C197" s="266"/>
      <c r="D197" s="266"/>
      <c r="E197" s="266"/>
      <c r="F197" s="266"/>
    </row>
    <row r="198" spans="2:6" ht="14.25">
      <c r="B198" s="266"/>
      <c r="C198" s="266"/>
      <c r="D198" s="266"/>
      <c r="E198" s="266"/>
      <c r="F198" s="266"/>
    </row>
    <row r="199" spans="2:6" ht="14.25">
      <c r="B199" s="266"/>
      <c r="C199" s="266"/>
      <c r="D199" s="266"/>
      <c r="E199" s="266"/>
      <c r="F199" s="266"/>
    </row>
    <row r="200" spans="2:6" ht="14.25">
      <c r="B200" s="266"/>
      <c r="C200" s="266"/>
      <c r="D200" s="266"/>
      <c r="E200" s="266"/>
      <c r="F200" s="266"/>
    </row>
    <row r="201" spans="2:6" ht="14.25">
      <c r="B201" s="266"/>
      <c r="C201" s="266"/>
      <c r="D201" s="266"/>
      <c r="E201" s="266"/>
      <c r="F201" s="266"/>
    </row>
    <row r="212" spans="5:6" ht="12.75">
      <c r="E212" s="16"/>
      <c r="F212" s="16"/>
    </row>
    <row r="213" spans="5:6" ht="12.75">
      <c r="E213" s="16"/>
      <c r="F213" s="16"/>
    </row>
    <row r="214" spans="5:6" ht="12.75">
      <c r="E214" s="16"/>
      <c r="F214" s="16"/>
    </row>
    <row r="215" spans="5:6" ht="12.75">
      <c r="E215" s="16"/>
      <c r="F215" s="16"/>
    </row>
    <row r="216" ht="12.75">
      <c r="E216" s="16"/>
    </row>
    <row r="219" spans="2:6" ht="12.75">
      <c r="B219" s="16"/>
      <c r="C219" s="16"/>
      <c r="D219" s="16"/>
      <c r="E219" s="16"/>
      <c r="F219" s="16"/>
    </row>
    <row r="220" spans="2:6" ht="12.75">
      <c r="B220" s="16"/>
      <c r="C220" s="16"/>
      <c r="D220" s="16"/>
      <c r="E220" s="16"/>
      <c r="F220" s="16"/>
    </row>
    <row r="221" spans="2:6" ht="12.75">
      <c r="B221" s="16"/>
      <c r="C221" s="16"/>
      <c r="D221" s="16"/>
      <c r="E221" s="16"/>
      <c r="F221" s="16"/>
    </row>
    <row r="222" spans="2:6" ht="12.75">
      <c r="B222" s="16"/>
      <c r="C222" s="16"/>
      <c r="D222" s="16"/>
      <c r="E222" s="16"/>
      <c r="F222" s="16"/>
    </row>
    <row r="223" spans="2:6" ht="12.75">
      <c r="B223" s="16"/>
      <c r="C223" s="16"/>
      <c r="D223" s="16"/>
      <c r="E223" s="16"/>
      <c r="F223" s="16"/>
    </row>
    <row r="224" spans="2:6" ht="12.75">
      <c r="B224" s="16"/>
      <c r="C224" s="16"/>
      <c r="D224" s="16"/>
      <c r="E224" s="16"/>
      <c r="F224" s="16"/>
    </row>
    <row r="225" spans="2:6" ht="12.75">
      <c r="B225" s="16"/>
      <c r="C225" s="16"/>
      <c r="D225" s="16"/>
      <c r="E225" s="16"/>
      <c r="F225" s="16"/>
    </row>
    <row r="226" spans="2:6" ht="12.75">
      <c r="B226" s="16"/>
      <c r="C226" s="16"/>
      <c r="D226" s="16"/>
      <c r="E226" s="16"/>
      <c r="F226" s="16"/>
    </row>
    <row r="227" spans="2:6" ht="12.75">
      <c r="B227" s="16"/>
      <c r="C227" s="16"/>
      <c r="D227" s="16"/>
      <c r="E227" s="16"/>
      <c r="F227" s="16"/>
    </row>
    <row r="228" spans="2:6" ht="12.75">
      <c r="B228" s="16"/>
      <c r="C228" s="16"/>
      <c r="D228" s="16"/>
      <c r="E228" s="16"/>
      <c r="F228" s="16"/>
    </row>
    <row r="229" spans="2:6" ht="12.75">
      <c r="B229" s="16"/>
      <c r="C229" s="16"/>
      <c r="D229" s="16"/>
      <c r="E229" s="16"/>
      <c r="F229" s="16"/>
    </row>
    <row r="230" spans="2:6" ht="12.75">
      <c r="B230" s="16"/>
      <c r="C230" s="16"/>
      <c r="D230" s="16"/>
      <c r="E230" s="16"/>
      <c r="F230" s="16"/>
    </row>
    <row r="231" spans="2:6" ht="12.75">
      <c r="B231" s="16"/>
      <c r="C231" s="16"/>
      <c r="D231" s="16"/>
      <c r="E231" s="16"/>
      <c r="F231" s="16"/>
    </row>
    <row r="232" spans="2:6" ht="12.75">
      <c r="B232" s="16"/>
      <c r="C232" s="16"/>
      <c r="D232" s="16"/>
      <c r="E232" s="16"/>
      <c r="F232" s="16"/>
    </row>
    <row r="234" spans="2:6" ht="12.75">
      <c r="B234" s="16"/>
      <c r="C234" s="16"/>
      <c r="D234" s="16"/>
      <c r="E234" s="16"/>
      <c r="F234" s="16"/>
    </row>
    <row r="235" spans="2:6" ht="12.75">
      <c r="B235" s="16"/>
      <c r="C235" s="16"/>
      <c r="D235" s="16"/>
      <c r="E235" s="16"/>
      <c r="F235" s="16"/>
    </row>
    <row r="236" spans="2:6" ht="12.75">
      <c r="B236" s="16"/>
      <c r="C236" s="16"/>
      <c r="D236" s="16"/>
      <c r="E236" s="16"/>
      <c r="F236" s="16"/>
    </row>
    <row r="237" spans="2:6" ht="12.75">
      <c r="B237" s="16"/>
      <c r="C237" s="16"/>
      <c r="D237" s="16"/>
      <c r="E237" s="16"/>
      <c r="F237" s="16"/>
    </row>
    <row r="238" spans="2:6" ht="12.75">
      <c r="B238" s="16"/>
      <c r="C238" s="16"/>
      <c r="D238" s="16"/>
      <c r="E238" s="16"/>
      <c r="F238" s="16"/>
    </row>
    <row r="240" spans="5:6" ht="12.75">
      <c r="E240" s="16"/>
      <c r="F240" s="16"/>
    </row>
    <row r="241" spans="5:6" ht="12.75">
      <c r="E241" s="16"/>
      <c r="F241" s="16"/>
    </row>
    <row r="242" spans="5:6" ht="12.75">
      <c r="E242" s="16"/>
      <c r="F242" s="16"/>
    </row>
    <row r="243" spans="5:6" ht="12.75">
      <c r="E243" s="16"/>
      <c r="F243" s="16"/>
    </row>
    <row r="247" spans="2:6" ht="12.75">
      <c r="B247" s="16"/>
      <c r="C247" s="16"/>
      <c r="D247" s="16"/>
      <c r="E247" s="16"/>
      <c r="F247" s="16"/>
    </row>
    <row r="248" spans="2:6" ht="12.75">
      <c r="B248" s="16"/>
      <c r="C248" s="16"/>
      <c r="D248" s="16"/>
      <c r="E248" s="16"/>
      <c r="F248" s="16"/>
    </row>
    <row r="249" spans="2:6" ht="12.75">
      <c r="B249" s="16"/>
      <c r="C249" s="16"/>
      <c r="D249" s="16"/>
      <c r="E249" s="16"/>
      <c r="F249" s="16"/>
    </row>
    <row r="250" spans="2:6" ht="12.75">
      <c r="B250" s="16"/>
      <c r="C250" s="16"/>
      <c r="D250" s="16"/>
      <c r="E250" s="16"/>
      <c r="F250" s="16"/>
    </row>
    <row r="251" spans="2:6" ht="12.75">
      <c r="B251" s="16"/>
      <c r="C251" s="16"/>
      <c r="D251" s="16"/>
      <c r="E251" s="16"/>
      <c r="F251" s="16"/>
    </row>
    <row r="252" spans="2:6" ht="12.75">
      <c r="B252" s="16"/>
      <c r="C252" s="16"/>
      <c r="D252" s="16"/>
      <c r="E252" s="16"/>
      <c r="F252" s="16"/>
    </row>
    <row r="253" spans="2:6" ht="12.75">
      <c r="B253" s="16"/>
      <c r="C253" s="16"/>
      <c r="D253" s="16"/>
      <c r="E253" s="16"/>
      <c r="F253" s="16"/>
    </row>
    <row r="254" spans="2:6" ht="12.75">
      <c r="B254" s="16"/>
      <c r="C254" s="16"/>
      <c r="D254" s="16"/>
      <c r="E254" s="16"/>
      <c r="F254" s="16"/>
    </row>
    <row r="255" spans="2:6" ht="12.75">
      <c r="B255" s="16"/>
      <c r="C255" s="16"/>
      <c r="D255" s="16"/>
      <c r="E255" s="16"/>
      <c r="F255" s="16"/>
    </row>
    <row r="256" spans="2:6" ht="12.75">
      <c r="B256" s="16"/>
      <c r="C256" s="16"/>
      <c r="D256" s="16"/>
      <c r="E256" s="16"/>
      <c r="F256" s="16"/>
    </row>
    <row r="257" spans="2:6" ht="12.75">
      <c r="B257" s="16"/>
      <c r="C257" s="16"/>
      <c r="D257" s="16"/>
      <c r="E257" s="16"/>
      <c r="F257" s="16"/>
    </row>
    <row r="258" spans="2:6" ht="12.75">
      <c r="B258" s="16"/>
      <c r="C258" s="16"/>
      <c r="D258" s="16"/>
      <c r="E258" s="16"/>
      <c r="F258" s="16"/>
    </row>
    <row r="259" spans="2:6" ht="12.75">
      <c r="B259" s="16"/>
      <c r="C259" s="16"/>
      <c r="D259" s="16"/>
      <c r="E259" s="16"/>
      <c r="F259" s="16"/>
    </row>
    <row r="282" ht="12.75">
      <c r="D282" s="29"/>
    </row>
    <row r="286" ht="12.75">
      <c r="D286" s="19"/>
    </row>
    <row r="290" ht="12.75">
      <c r="E290" s="57"/>
    </row>
    <row r="294" ht="12.75">
      <c r="E294" s="4"/>
    </row>
    <row r="296" ht="12.75">
      <c r="E296" s="4"/>
    </row>
    <row r="298" ht="12.75">
      <c r="E298" s="57"/>
    </row>
    <row r="346" spans="3:4" ht="12.75">
      <c r="C346" s="4"/>
      <c r="D346" s="4"/>
    </row>
    <row r="348" spans="3:5" ht="12.75">
      <c r="C348" s="4"/>
      <c r="D348" s="4"/>
      <c r="E348" s="4"/>
    </row>
    <row r="349" spans="3:5" ht="12.75">
      <c r="C349" s="4"/>
      <c r="D349" s="4"/>
      <c r="E349" s="4"/>
    </row>
    <row r="350" spans="3:5" ht="12.75">
      <c r="C350" s="4"/>
      <c r="D350" s="4"/>
      <c r="E350" s="4"/>
    </row>
    <row r="351" spans="3:5" ht="12.75">
      <c r="C351" s="4"/>
      <c r="D351" s="4"/>
      <c r="E351" s="4"/>
    </row>
    <row r="352" spans="3:5" ht="12.75">
      <c r="C352" s="4"/>
      <c r="D352" s="4"/>
      <c r="E352" s="4"/>
    </row>
    <row r="353" spans="3:5" ht="12.75">
      <c r="C353" s="4"/>
      <c r="D353" s="4"/>
      <c r="E353" s="4"/>
    </row>
    <row r="354" spans="3:5" ht="12.75">
      <c r="C354" s="4"/>
      <c r="D354" s="4"/>
      <c r="E354" s="57"/>
    </row>
    <row r="355" spans="3:5" ht="12.75">
      <c r="C355" s="4"/>
      <c r="D355" s="4"/>
      <c r="E355" s="4"/>
    </row>
    <row r="356" spans="3:5" ht="12.75">
      <c r="C356" s="4"/>
      <c r="D356" s="4"/>
      <c r="E356" s="57"/>
    </row>
    <row r="357" spans="3:5" ht="12.75">
      <c r="C357" s="4"/>
      <c r="D357" s="4"/>
      <c r="E357" s="57"/>
    </row>
    <row r="358" spans="3:5" ht="12.75">
      <c r="C358" s="4"/>
      <c r="D358" s="4"/>
      <c r="E358" s="57"/>
    </row>
    <row r="359" ht="12.75">
      <c r="E359" s="15"/>
    </row>
    <row r="360" ht="12.75">
      <c r="E360" s="57"/>
    </row>
    <row r="362" spans="3:5" ht="12.75">
      <c r="C362" s="4"/>
      <c r="D362" s="4"/>
      <c r="E362" s="4"/>
    </row>
    <row r="363" spans="3:5" ht="12.75">
      <c r="C363" s="4"/>
      <c r="D363" s="4"/>
      <c r="E363" s="4"/>
    </row>
    <row r="364" spans="3:5" ht="12.75">
      <c r="C364" s="4"/>
      <c r="D364" s="4"/>
      <c r="E364" s="57"/>
    </row>
    <row r="365" spans="3:5" ht="12.75">
      <c r="C365" s="4"/>
      <c r="D365" s="4"/>
      <c r="E365" s="4"/>
    </row>
    <row r="366" spans="3:5" ht="12.75">
      <c r="C366" s="4"/>
      <c r="D366" s="4"/>
      <c r="E366" s="4"/>
    </row>
    <row r="388" spans="3:4" ht="12.75">
      <c r="C388" s="590"/>
      <c r="D388" s="590"/>
    </row>
    <row r="403" spans="5:6" ht="12.75">
      <c r="E403" s="16"/>
      <c r="F403" s="16"/>
    </row>
    <row r="404" spans="5:6" ht="12.75">
      <c r="E404" s="16"/>
      <c r="F404" s="16"/>
    </row>
    <row r="405" spans="5:6" ht="12.75">
      <c r="E405" s="16"/>
      <c r="F405" s="16"/>
    </row>
    <row r="406" spans="5:6" ht="12.75">
      <c r="E406" s="16"/>
      <c r="F406" s="16"/>
    </row>
    <row r="410" spans="2:6" ht="12.75">
      <c r="B410" s="16"/>
      <c r="C410" s="16"/>
      <c r="D410" s="16"/>
      <c r="E410" s="16"/>
      <c r="F410" s="16"/>
    </row>
    <row r="411" spans="2:6" ht="12.75">
      <c r="B411" s="16"/>
      <c r="C411" s="16"/>
      <c r="D411" s="16"/>
      <c r="E411" s="16"/>
      <c r="F411" s="16"/>
    </row>
    <row r="412" spans="2:6" ht="12.75">
      <c r="B412" s="16"/>
      <c r="C412" s="16"/>
      <c r="D412" s="16"/>
      <c r="E412" s="16"/>
      <c r="F412" s="16"/>
    </row>
    <row r="413" spans="2:6" ht="12.75">
      <c r="B413" s="16"/>
      <c r="C413" s="16"/>
      <c r="D413" s="16"/>
      <c r="E413" s="16"/>
      <c r="F413" s="16"/>
    </row>
    <row r="414" spans="2:6" ht="12.75">
      <c r="B414" s="16"/>
      <c r="C414" s="16"/>
      <c r="D414" s="16"/>
      <c r="E414" s="16"/>
      <c r="F414" s="16"/>
    </row>
    <row r="415" spans="2:6" ht="12.75">
      <c r="B415" s="16"/>
      <c r="C415" s="16"/>
      <c r="D415" s="16"/>
      <c r="E415" s="16"/>
      <c r="F415" s="16"/>
    </row>
    <row r="416" spans="2:6" ht="12.75">
      <c r="B416" s="16"/>
      <c r="C416" s="16"/>
      <c r="D416" s="16"/>
      <c r="E416" s="16"/>
      <c r="F416" s="16"/>
    </row>
    <row r="417" spans="2:6" ht="12.75">
      <c r="B417" s="16"/>
      <c r="C417" s="16"/>
      <c r="D417" s="16"/>
      <c r="E417" s="16"/>
      <c r="F417" s="16"/>
    </row>
    <row r="418" spans="2:6" ht="12.75">
      <c r="B418" s="16"/>
      <c r="C418" s="16"/>
      <c r="D418" s="16"/>
      <c r="E418" s="16"/>
      <c r="F418" s="16"/>
    </row>
    <row r="419" spans="2:6" ht="12.75">
      <c r="B419" s="16"/>
      <c r="C419" s="16"/>
      <c r="D419" s="16"/>
      <c r="E419" s="16"/>
      <c r="F419" s="16"/>
    </row>
    <row r="420" spans="2:6" ht="12.75">
      <c r="B420" s="16"/>
      <c r="C420" s="16"/>
      <c r="D420" s="16"/>
      <c r="E420" s="16"/>
      <c r="F420" s="16"/>
    </row>
    <row r="421" spans="2:6" ht="12.75">
      <c r="B421" s="16"/>
      <c r="C421" s="16"/>
      <c r="D421" s="16"/>
      <c r="E421" s="16"/>
      <c r="F421" s="16"/>
    </row>
    <row r="422" spans="2:6" ht="12.75">
      <c r="B422" s="16"/>
      <c r="C422" s="16"/>
      <c r="D422" s="16"/>
      <c r="E422" s="16"/>
      <c r="F422" s="16"/>
    </row>
  </sheetData>
  <sheetProtection/>
  <mergeCells count="2">
    <mergeCell ref="B64:E64"/>
    <mergeCell ref="C388:D388"/>
  </mergeCells>
  <printOptions/>
  <pageMargins left="0.83" right="0.28" top="0.69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318"/>
  <sheetViews>
    <sheetView zoomScalePageLayoutView="0" workbookViewId="0" topLeftCell="A124">
      <selection activeCell="A47" sqref="A47:I65"/>
    </sheetView>
  </sheetViews>
  <sheetFormatPr defaultColWidth="9.140625" defaultRowHeight="12.75"/>
  <cols>
    <col min="3" max="3" width="10.57421875" style="0" bestFit="1" customWidth="1"/>
    <col min="4" max="4" width="9.8515625" style="0" customWidth="1"/>
    <col min="6" max="6" width="10.57421875" style="0" customWidth="1"/>
    <col min="12" max="12" width="11.57421875" style="0" customWidth="1"/>
    <col min="13" max="13" width="14.421875" style="0" customWidth="1"/>
    <col min="14" max="14" width="16.8515625" style="0" customWidth="1"/>
    <col min="15" max="15" width="16.28125" style="0" customWidth="1"/>
    <col min="16" max="16" width="11.7109375" style="0" customWidth="1"/>
    <col min="17" max="17" width="11.7109375" style="0" bestFit="1" customWidth="1"/>
    <col min="19" max="19" width="11.57421875" style="0" bestFit="1" customWidth="1"/>
  </cols>
  <sheetData>
    <row r="3" ht="12.75">
      <c r="F3" t="s">
        <v>169</v>
      </c>
    </row>
    <row r="4" ht="12.75">
      <c r="F4" t="s">
        <v>171</v>
      </c>
    </row>
    <row r="5" ht="12.75">
      <c r="F5" t="s">
        <v>19</v>
      </c>
    </row>
    <row r="9" ht="12.75">
      <c r="F9" t="s">
        <v>443</v>
      </c>
    </row>
    <row r="10" ht="12.75">
      <c r="F10" t="s">
        <v>444</v>
      </c>
    </row>
    <row r="11" ht="12.75">
      <c r="F11" t="s">
        <v>19</v>
      </c>
    </row>
    <row r="12" ht="12.75">
      <c r="F12" t="s">
        <v>137</v>
      </c>
    </row>
    <row r="16" ht="12.75">
      <c r="D16" t="s">
        <v>20</v>
      </c>
    </row>
    <row r="19" ht="12.75">
      <c r="A19" t="s">
        <v>138</v>
      </c>
    </row>
    <row r="20" ht="12.75">
      <c r="A20" t="s">
        <v>460</v>
      </c>
    </row>
    <row r="25" ht="12.75">
      <c r="F25" t="s">
        <v>4</v>
      </c>
    </row>
    <row r="44" spans="3:7" ht="12.75">
      <c r="C44" t="s">
        <v>204</v>
      </c>
      <c r="G44" t="s">
        <v>1</v>
      </c>
    </row>
    <row r="56" spans="5:6" ht="12.75">
      <c r="E56" s="522"/>
      <c r="F56" s="522"/>
    </row>
    <row r="79" spans="1:9" ht="14.25">
      <c r="A79" s="266"/>
      <c r="B79" s="266"/>
      <c r="C79" s="266"/>
      <c r="D79" s="266"/>
      <c r="E79" s="266"/>
      <c r="F79" s="266"/>
      <c r="G79" s="266"/>
      <c r="H79" s="266"/>
      <c r="I79" s="266"/>
    </row>
    <row r="80" spans="1:9" ht="14.25">
      <c r="A80" s="266"/>
      <c r="B80" s="266"/>
      <c r="C80" s="266"/>
      <c r="D80" s="266"/>
      <c r="E80" s="266"/>
      <c r="F80" s="266"/>
      <c r="G80" s="266"/>
      <c r="H80" s="266"/>
      <c r="I80" s="266"/>
    </row>
    <row r="82" ht="12.75">
      <c r="G82" t="s">
        <v>443</v>
      </c>
    </row>
    <row r="83" ht="12.75">
      <c r="G83" t="s">
        <v>444</v>
      </c>
    </row>
    <row r="84" ht="12.75">
      <c r="G84" t="s">
        <v>414</v>
      </c>
    </row>
    <row r="85" ht="12.75">
      <c r="G85" t="s">
        <v>203</v>
      </c>
    </row>
    <row r="89" spans="4:6" ht="12.75">
      <c r="D89" s="590" t="s">
        <v>20</v>
      </c>
      <c r="E89" s="590"/>
      <c r="F89" s="590"/>
    </row>
    <row r="92" ht="12.75">
      <c r="B92" t="s">
        <v>458</v>
      </c>
    </row>
    <row r="93" ht="12.75">
      <c r="B93" t="s">
        <v>455</v>
      </c>
    </row>
    <row r="95" ht="12.75">
      <c r="B95" t="s">
        <v>456</v>
      </c>
    </row>
    <row r="98" ht="12.75">
      <c r="F98" t="s">
        <v>1</v>
      </c>
    </row>
    <row r="99" spans="1:9" ht="14.25">
      <c r="A99" s="266"/>
      <c r="B99" s="266"/>
      <c r="C99" s="266"/>
      <c r="D99" s="266"/>
      <c r="E99" s="266"/>
      <c r="F99" s="266"/>
      <c r="G99" s="266"/>
      <c r="H99" s="266"/>
      <c r="I99" s="266"/>
    </row>
    <row r="100" spans="1:9" ht="14.25">
      <c r="A100" s="266"/>
      <c r="B100" s="266"/>
      <c r="C100" s="266"/>
      <c r="D100" s="266"/>
      <c r="E100" s="266"/>
      <c r="F100" s="266"/>
      <c r="G100" s="266"/>
      <c r="H100" s="266"/>
      <c r="I100" s="266"/>
    </row>
    <row r="101" spans="1:9" ht="14.25">
      <c r="A101" s="266"/>
      <c r="B101" s="266"/>
      <c r="C101" s="266"/>
      <c r="D101" s="266"/>
      <c r="E101" s="266"/>
      <c r="F101" s="266"/>
      <c r="G101" s="266"/>
      <c r="H101" s="266"/>
      <c r="I101" s="266"/>
    </row>
    <row r="102" spans="1:9" ht="14.25">
      <c r="A102" s="266"/>
      <c r="B102" s="266"/>
      <c r="C102" s="266"/>
      <c r="D102" s="266"/>
      <c r="E102" s="266"/>
      <c r="F102" s="266"/>
      <c r="G102" s="266"/>
      <c r="H102" s="266"/>
      <c r="I102" s="266"/>
    </row>
    <row r="104" ht="12.75">
      <c r="F104" t="s">
        <v>443</v>
      </c>
    </row>
    <row r="105" ht="12.75">
      <c r="F105" t="s">
        <v>444</v>
      </c>
    </row>
    <row r="106" ht="12.75">
      <c r="F106" t="s">
        <v>414</v>
      </c>
    </row>
    <row r="107" ht="12.75">
      <c r="F107" t="s">
        <v>203</v>
      </c>
    </row>
    <row r="111" ht="12.75">
      <c r="D111" t="s">
        <v>20</v>
      </c>
    </row>
    <row r="114" ht="12.75">
      <c r="B114" t="s">
        <v>457</v>
      </c>
    </row>
    <row r="117" ht="12.75">
      <c r="B117" t="s">
        <v>459</v>
      </c>
    </row>
    <row r="120" ht="12.75">
      <c r="F120" t="s">
        <v>1</v>
      </c>
    </row>
    <row r="121" spans="1:9" ht="14.25">
      <c r="A121" s="266"/>
      <c r="B121" s="266"/>
      <c r="C121" s="266"/>
      <c r="D121" s="266"/>
      <c r="E121" s="266"/>
      <c r="F121" s="266"/>
      <c r="G121" s="266"/>
      <c r="H121" s="266"/>
      <c r="I121" s="266"/>
    </row>
    <row r="137" ht="12.75">
      <c r="F137" t="s">
        <v>169</v>
      </c>
    </row>
    <row r="138" ht="12.75">
      <c r="F138" t="s">
        <v>170</v>
      </c>
    </row>
    <row r="139" ht="12.75">
      <c r="F139" t="s">
        <v>19</v>
      </c>
    </row>
    <row r="144" ht="12.75">
      <c r="D144" t="s">
        <v>20</v>
      </c>
    </row>
    <row r="147" ht="12.75">
      <c r="B147" t="s">
        <v>168</v>
      </c>
    </row>
    <row r="148" ht="12.75">
      <c r="B148" t="s">
        <v>442</v>
      </c>
    </row>
    <row r="153" ht="12.75">
      <c r="F153" t="s">
        <v>4</v>
      </c>
    </row>
    <row r="201" ht="12.75">
      <c r="F201" t="s">
        <v>167</v>
      </c>
    </row>
    <row r="202" ht="12.75">
      <c r="F202" t="s">
        <v>415</v>
      </c>
    </row>
    <row r="203" ht="12.75">
      <c r="F203" t="s">
        <v>203</v>
      </c>
    </row>
    <row r="209" ht="12.75">
      <c r="E209" t="s">
        <v>202</v>
      </c>
    </row>
    <row r="212" ht="12.75">
      <c r="B212" t="s">
        <v>416</v>
      </c>
    </row>
    <row r="213" ht="12.75">
      <c r="B213" t="s">
        <v>417</v>
      </c>
    </row>
    <row r="214" ht="12.75">
      <c r="B214" t="s">
        <v>418</v>
      </c>
    </row>
    <row r="218" ht="12.75">
      <c r="F218" t="s">
        <v>4</v>
      </c>
    </row>
    <row r="222" ht="12.75">
      <c r="E222" t="s">
        <v>420</v>
      </c>
    </row>
    <row r="223" ht="12.75">
      <c r="E223" t="s">
        <v>419</v>
      </c>
    </row>
    <row r="226" ht="12.75">
      <c r="G226" t="s">
        <v>421</v>
      </c>
    </row>
    <row r="283" spans="13:17" ht="12.75">
      <c r="M283" s="4"/>
      <c r="N283" s="4" t="s">
        <v>425</v>
      </c>
      <c r="O283" s="4" t="s">
        <v>426</v>
      </c>
      <c r="P283" s="4" t="s">
        <v>427</v>
      </c>
      <c r="Q283" s="4" t="s">
        <v>428</v>
      </c>
    </row>
    <row r="284" spans="13:20" ht="12.75">
      <c r="M284" s="57" t="s">
        <v>422</v>
      </c>
      <c r="N284" s="524">
        <f>3332229+N289</f>
        <v>3729970.703276707</v>
      </c>
      <c r="O284" s="524">
        <f>12.95*124632+O289</f>
        <v>1792601.569898515</v>
      </c>
      <c r="P284" s="524">
        <f>616713.29+P289</f>
        <v>698703.2501581113</v>
      </c>
      <c r="Q284" s="524">
        <f>SUM(N284:P284)</f>
        <v>6221275.523333333</v>
      </c>
      <c r="S284">
        <f>40*32459.55</f>
        <v>1298382</v>
      </c>
      <c r="T284">
        <f>S284/12</f>
        <v>108198.5</v>
      </c>
    </row>
    <row r="285" spans="13:17" ht="12.75">
      <c r="M285" s="57" t="s">
        <v>423</v>
      </c>
      <c r="N285" s="524">
        <f>3251346.1+N289</f>
        <v>3649087.803276707</v>
      </c>
      <c r="O285" s="524">
        <f>12.95*114928+O289</f>
        <v>1666934.7698985152</v>
      </c>
      <c r="P285" s="524">
        <f>705706.09+P289</f>
        <v>787696.0501581113</v>
      </c>
      <c r="Q285" s="524">
        <f>SUM(N285:P285)</f>
        <v>6103718.623333333</v>
      </c>
    </row>
    <row r="286" spans="13:17" ht="12.75">
      <c r="M286" s="57" t="s">
        <v>424</v>
      </c>
      <c r="N286" s="524">
        <f>2953662.4+N289</f>
        <v>3351404.1032767068</v>
      </c>
      <c r="O286" s="524">
        <f>12.95*91171+O289</f>
        <v>1359281.6198985153</v>
      </c>
      <c r="P286" s="524">
        <f>643574.42+P289</f>
        <v>725564.3801581113</v>
      </c>
      <c r="Q286" s="524">
        <f>SUM(N286:P286)</f>
        <v>5436250.1033333335</v>
      </c>
    </row>
    <row r="287" spans="14:17" ht="12.75">
      <c r="N287" s="465">
        <f>SUM(N284:N286)</f>
        <v>10730462.60983012</v>
      </c>
      <c r="O287" s="465">
        <f>SUM(O284:O286)</f>
        <v>4818817.959695546</v>
      </c>
      <c r="P287" s="465">
        <f>SUM(P284:P286)</f>
        <v>2211963.680474334</v>
      </c>
      <c r="Q287" s="465">
        <f>SUM(Q284:Q286)</f>
        <v>17761244.25</v>
      </c>
    </row>
    <row r="288" spans="3:17" ht="12.75">
      <c r="C288" s="523"/>
      <c r="N288" s="178">
        <f>N287/Q287</f>
        <v>0.604150388271932</v>
      </c>
      <c r="O288" s="178">
        <f>O287/Q287</f>
        <v>0.2713108322743518</v>
      </c>
      <c r="P288" s="178">
        <f>P287/Q287</f>
        <v>0.12453877945371614</v>
      </c>
      <c r="Q288" s="465">
        <f>Q287/3</f>
        <v>5920414.75</v>
      </c>
    </row>
    <row r="289" spans="14:20" ht="12.75">
      <c r="N289" s="58">
        <v>397741.7032767068</v>
      </c>
      <c r="O289" s="58">
        <v>178617.16989851522</v>
      </c>
      <c r="P289" s="58">
        <v>81989.96015811132</v>
      </c>
      <c r="Q289">
        <f>Q288*12</f>
        <v>71044977</v>
      </c>
      <c r="R289">
        <f>71044977</f>
        <v>71044977</v>
      </c>
      <c r="S289">
        <f>R289-Q289</f>
        <v>0</v>
      </c>
      <c r="T289">
        <f>S289/12</f>
        <v>0</v>
      </c>
    </row>
    <row r="290" ht="12.75">
      <c r="Q290">
        <f>Q289*1.18</f>
        <v>83833072.86</v>
      </c>
    </row>
    <row r="291" ht="12.75">
      <c r="Q291">
        <v>84000000</v>
      </c>
    </row>
    <row r="293" spans="11:19" ht="15">
      <c r="K293" s="525"/>
      <c r="L293" s="525"/>
      <c r="M293" s="525"/>
      <c r="N293" s="591" t="s">
        <v>429</v>
      </c>
      <c r="O293" s="591"/>
      <c r="P293" s="525"/>
      <c r="Q293" s="525"/>
      <c r="R293" s="525"/>
      <c r="S293" s="525">
        <f>84000000/1.18</f>
        <v>71186440.6779661</v>
      </c>
    </row>
    <row r="294" spans="11:19" ht="15">
      <c r="K294" s="525"/>
      <c r="L294" s="525"/>
      <c r="M294" s="525"/>
      <c r="N294" s="525"/>
      <c r="O294" s="525"/>
      <c r="P294" s="525"/>
      <c r="Q294" s="525"/>
      <c r="R294" s="525"/>
      <c r="S294" s="525"/>
    </row>
    <row r="295" spans="11:19" ht="15">
      <c r="K295" s="525"/>
      <c r="L295" s="525"/>
      <c r="M295" s="525"/>
      <c r="N295" s="525"/>
      <c r="O295" s="525"/>
      <c r="P295" s="525"/>
      <c r="Q295" s="525"/>
      <c r="R295" s="525"/>
      <c r="S295" s="525"/>
    </row>
    <row r="296" spans="11:19" ht="15">
      <c r="K296" s="525"/>
      <c r="L296" s="525" t="s">
        <v>430</v>
      </c>
      <c r="M296" s="525"/>
      <c r="N296" s="525"/>
      <c r="O296" s="525"/>
      <c r="P296" s="525"/>
      <c r="Q296" s="525" t="s">
        <v>431</v>
      </c>
      <c r="R296" s="525"/>
      <c r="S296" s="525"/>
    </row>
    <row r="297" spans="11:19" ht="15">
      <c r="K297" s="525"/>
      <c r="L297" s="525"/>
      <c r="M297" s="525"/>
      <c r="N297" s="525"/>
      <c r="O297" s="525"/>
      <c r="P297" s="525"/>
      <c r="Q297" s="525"/>
      <c r="R297" s="525"/>
      <c r="S297" s="525"/>
    </row>
    <row r="298" spans="11:19" ht="15">
      <c r="K298" s="525"/>
      <c r="L298" s="525"/>
      <c r="M298" s="525"/>
      <c r="N298" s="525"/>
      <c r="O298" s="525"/>
      <c r="P298" s="525"/>
      <c r="Q298" s="525"/>
      <c r="R298" s="525"/>
      <c r="S298" s="525"/>
    </row>
    <row r="299" spans="11:19" ht="15">
      <c r="K299" s="525"/>
      <c r="L299" s="525"/>
      <c r="M299" s="525"/>
      <c r="N299" s="525"/>
      <c r="O299" s="525"/>
      <c r="P299" s="525"/>
      <c r="Q299" s="525"/>
      <c r="R299" s="525"/>
      <c r="S299" s="525"/>
    </row>
    <row r="300" spans="11:19" ht="15">
      <c r="K300" s="525"/>
      <c r="L300" s="525"/>
      <c r="M300" s="525"/>
      <c r="N300" s="525"/>
      <c r="O300" s="525"/>
      <c r="P300" s="525"/>
      <c r="Q300" s="525"/>
      <c r="R300" s="525"/>
      <c r="S300" s="525"/>
    </row>
    <row r="301" spans="11:19" ht="15">
      <c r="K301" s="525"/>
      <c r="L301" s="525" t="s">
        <v>432</v>
      </c>
      <c r="M301" s="525"/>
      <c r="N301" s="525"/>
      <c r="O301" s="525"/>
      <c r="P301" s="525"/>
      <c r="Q301" s="525"/>
      <c r="R301" s="525"/>
      <c r="S301" s="525"/>
    </row>
    <row r="302" spans="11:19" ht="15">
      <c r="K302" s="525"/>
      <c r="L302" s="525"/>
      <c r="M302" s="525"/>
      <c r="N302" s="525"/>
      <c r="O302" s="525"/>
      <c r="P302" s="525"/>
      <c r="Q302" s="525"/>
      <c r="R302" s="525"/>
      <c r="S302" s="525"/>
    </row>
    <row r="303" spans="11:19" ht="15">
      <c r="K303" s="525"/>
      <c r="L303" s="526" t="s">
        <v>433</v>
      </c>
      <c r="M303" s="527" t="s">
        <v>434</v>
      </c>
      <c r="N303" s="528" t="s">
        <v>434</v>
      </c>
      <c r="O303" s="527" t="s">
        <v>434</v>
      </c>
      <c r="P303" s="529" t="s">
        <v>428</v>
      </c>
      <c r="Q303" s="266"/>
      <c r="R303" s="266"/>
      <c r="S303" s="525"/>
    </row>
    <row r="304" spans="11:19" ht="15">
      <c r="K304" s="525"/>
      <c r="L304" s="530"/>
      <c r="M304" s="531" t="s">
        <v>435</v>
      </c>
      <c r="N304" s="532" t="s">
        <v>436</v>
      </c>
      <c r="O304" s="531" t="s">
        <v>437</v>
      </c>
      <c r="P304" s="533"/>
      <c r="Q304" s="266"/>
      <c r="R304" s="266"/>
      <c r="S304" s="525"/>
    </row>
    <row r="305" spans="11:19" ht="15">
      <c r="K305" s="525"/>
      <c r="L305" s="534"/>
      <c r="M305" s="534"/>
      <c r="N305" s="534"/>
      <c r="O305" s="534"/>
      <c r="P305" s="534"/>
      <c r="Q305" s="525"/>
      <c r="R305" s="525"/>
      <c r="S305" s="525"/>
    </row>
    <row r="306" spans="11:19" ht="15">
      <c r="K306" s="525"/>
      <c r="L306" s="535" t="s">
        <v>438</v>
      </c>
      <c r="M306" s="536">
        <v>3729971</v>
      </c>
      <c r="N306" s="536">
        <v>1792602</v>
      </c>
      <c r="O306" s="536">
        <v>698703</v>
      </c>
      <c r="P306" s="536">
        <f>SUM(M306:O306)</f>
        <v>6221276</v>
      </c>
      <c r="Q306" s="266"/>
      <c r="R306" s="525"/>
      <c r="S306" s="525"/>
    </row>
    <row r="307" spans="11:19" ht="15">
      <c r="K307" s="525"/>
      <c r="L307" s="535" t="s">
        <v>439</v>
      </c>
      <c r="M307" s="536">
        <v>3649088</v>
      </c>
      <c r="N307" s="536">
        <v>1666935</v>
      </c>
      <c r="O307" s="536">
        <v>787696</v>
      </c>
      <c r="P307" s="536">
        <f>SUM(M307:O307)</f>
        <v>6103719</v>
      </c>
      <c r="Q307" s="266"/>
      <c r="R307" s="525"/>
      <c r="S307" s="525"/>
    </row>
    <row r="308" spans="11:19" ht="15">
      <c r="K308" s="525"/>
      <c r="L308" s="535" t="s">
        <v>440</v>
      </c>
      <c r="M308" s="536">
        <v>3351404</v>
      </c>
      <c r="N308" s="536">
        <v>1359282</v>
      </c>
      <c r="O308" s="536">
        <v>725564</v>
      </c>
      <c r="P308" s="536">
        <f>SUM(M308:O308)</f>
        <v>5436250</v>
      </c>
      <c r="Q308" s="266"/>
      <c r="R308" s="525"/>
      <c r="S308" s="525"/>
    </row>
    <row r="309" spans="11:19" ht="15.75">
      <c r="K309" s="525"/>
      <c r="L309" s="535" t="s">
        <v>15</v>
      </c>
      <c r="M309" s="535"/>
      <c r="N309" s="535"/>
      <c r="O309" s="535"/>
      <c r="P309" s="537">
        <f>SUM(P306:P308)</f>
        <v>17761245</v>
      </c>
      <c r="Q309" s="266"/>
      <c r="R309" s="525"/>
      <c r="S309" s="525"/>
    </row>
    <row r="310" spans="11:19" ht="15">
      <c r="K310" s="525"/>
      <c r="L310" s="266"/>
      <c r="M310" s="266"/>
      <c r="N310" s="266"/>
      <c r="O310" s="266"/>
      <c r="P310" s="266"/>
      <c r="Q310" s="266"/>
      <c r="R310" s="525"/>
      <c r="S310" s="525"/>
    </row>
    <row r="311" spans="11:19" ht="15">
      <c r="K311" s="525"/>
      <c r="L311" s="266"/>
      <c r="M311" s="266"/>
      <c r="N311" s="266"/>
      <c r="O311" s="266"/>
      <c r="P311" s="266"/>
      <c r="Q311" s="266"/>
      <c r="R311" s="525"/>
      <c r="S311" s="525"/>
    </row>
    <row r="312" spans="11:19" ht="15">
      <c r="K312" s="525"/>
      <c r="L312" s="266"/>
      <c r="M312" s="266"/>
      <c r="N312" s="266"/>
      <c r="O312" s="266"/>
      <c r="P312" s="266"/>
      <c r="Q312" s="266"/>
      <c r="R312" s="525"/>
      <c r="S312" s="525"/>
    </row>
    <row r="313" spans="11:19" ht="15">
      <c r="K313" s="525"/>
      <c r="L313" s="266"/>
      <c r="M313" s="266"/>
      <c r="N313" s="266"/>
      <c r="O313" s="266"/>
      <c r="P313" s="266"/>
      <c r="Q313" s="266"/>
      <c r="R313" s="525"/>
      <c r="S313" s="525"/>
    </row>
    <row r="314" spans="11:19" ht="15">
      <c r="K314" s="525"/>
      <c r="L314" s="525"/>
      <c r="M314" s="525"/>
      <c r="N314" s="525"/>
      <c r="O314" s="525"/>
      <c r="P314" s="525"/>
      <c r="Q314" s="525"/>
      <c r="R314" s="525"/>
      <c r="S314" s="525"/>
    </row>
    <row r="315" spans="11:19" ht="15">
      <c r="K315" s="525"/>
      <c r="L315" s="525"/>
      <c r="M315" s="525"/>
      <c r="N315" s="525"/>
      <c r="O315" s="525"/>
      <c r="P315" s="525"/>
      <c r="Q315" s="525"/>
      <c r="R315" s="525"/>
      <c r="S315" s="525"/>
    </row>
    <row r="316" spans="11:19" ht="15">
      <c r="K316" s="525"/>
      <c r="L316" s="525"/>
      <c r="M316" s="525"/>
      <c r="N316" s="525"/>
      <c r="O316" s="525"/>
      <c r="P316" s="525"/>
      <c r="Q316" s="525"/>
      <c r="R316" s="525"/>
      <c r="S316" s="525"/>
    </row>
    <row r="317" spans="11:19" ht="15">
      <c r="K317" s="525"/>
      <c r="L317" s="525"/>
      <c r="M317" s="525"/>
      <c r="N317" s="525"/>
      <c r="O317" s="525"/>
      <c r="P317" s="525"/>
      <c r="Q317" s="525"/>
      <c r="R317" s="525"/>
      <c r="S317" s="525"/>
    </row>
    <row r="318" spans="11:19" ht="15">
      <c r="K318" s="525"/>
      <c r="L318" s="525"/>
      <c r="M318" s="525"/>
      <c r="N318" s="525"/>
      <c r="O318" s="525"/>
      <c r="P318" s="525"/>
      <c r="Q318" s="525"/>
      <c r="R318" s="525"/>
      <c r="S318" s="525"/>
    </row>
  </sheetData>
  <sheetProtection/>
  <mergeCells count="2">
    <mergeCell ref="D89:F89"/>
    <mergeCell ref="N293:O293"/>
  </mergeCells>
  <printOptions/>
  <pageMargins left="0.86" right="0.24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I384"/>
  <sheetViews>
    <sheetView zoomScalePageLayoutView="0" workbookViewId="0" topLeftCell="A4">
      <selection activeCell="A1" sqref="A1:IV105"/>
    </sheetView>
  </sheetViews>
  <sheetFormatPr defaultColWidth="9.140625" defaultRowHeight="12.75"/>
  <cols>
    <col min="5" max="5" width="7.8515625" style="0" customWidth="1"/>
    <col min="6" max="6" width="8.140625" style="0" customWidth="1"/>
    <col min="7" max="7" width="10.7109375" style="0" customWidth="1"/>
    <col min="8" max="8" width="10.57421875" style="0" customWidth="1"/>
    <col min="9" max="9" width="12.28125" style="0" customWidth="1"/>
    <col min="10" max="10" width="21.28125" style="0" customWidth="1"/>
    <col min="11" max="11" width="7.7109375" style="0" customWidth="1"/>
    <col min="12" max="12" width="10.140625" style="0" customWidth="1"/>
    <col min="13" max="13" width="10.28125" style="0" customWidth="1"/>
    <col min="14" max="14" width="16.140625" style="0" customWidth="1"/>
    <col min="15" max="15" width="13.8515625" style="0" customWidth="1"/>
    <col min="16" max="16" width="10.28125" style="0" customWidth="1"/>
  </cols>
  <sheetData>
    <row r="7" ht="12.75">
      <c r="E7" t="s">
        <v>27</v>
      </c>
    </row>
    <row r="8" ht="12.75">
      <c r="B8" t="s">
        <v>172</v>
      </c>
    </row>
    <row r="10" ht="12.75">
      <c r="D10" s="15"/>
    </row>
    <row r="11" spans="1:9" ht="12.75">
      <c r="A11" s="5"/>
      <c r="B11" s="7" t="s">
        <v>24</v>
      </c>
      <c r="C11" s="7"/>
      <c r="D11" s="72"/>
      <c r="E11" s="7"/>
      <c r="F11" s="11" t="s">
        <v>25</v>
      </c>
      <c r="G11" s="6" t="s">
        <v>18</v>
      </c>
      <c r="H11" s="11" t="s">
        <v>9</v>
      </c>
      <c r="I11" s="8" t="s">
        <v>26</v>
      </c>
    </row>
    <row r="12" spans="1:9" ht="12.75">
      <c r="A12" s="9"/>
      <c r="B12" s="10"/>
      <c r="C12" s="10"/>
      <c r="D12" s="31"/>
      <c r="E12" s="10"/>
      <c r="F12" s="21"/>
      <c r="G12" s="73" t="s">
        <v>29</v>
      </c>
      <c r="H12" s="21" t="s">
        <v>28</v>
      </c>
      <c r="I12" s="74"/>
    </row>
    <row r="13" spans="1:9" ht="12.75">
      <c r="A13" s="12"/>
      <c r="B13" s="12"/>
      <c r="C13" s="12"/>
      <c r="D13" s="70"/>
      <c r="E13" s="12"/>
      <c r="F13" s="71"/>
      <c r="G13" s="71"/>
      <c r="H13" s="71"/>
      <c r="I13" s="12"/>
    </row>
    <row r="14" spans="1:9" ht="12.75">
      <c r="A14" s="12"/>
      <c r="B14" s="12"/>
      <c r="C14" s="12"/>
      <c r="D14" s="15" t="s">
        <v>2</v>
      </c>
      <c r="E14" s="12"/>
      <c r="F14" s="71"/>
      <c r="G14" s="71"/>
      <c r="H14" s="71"/>
      <c r="I14" s="12"/>
    </row>
    <row r="15" spans="6:7" ht="12.75">
      <c r="F15" s="4"/>
      <c r="G15" s="4"/>
    </row>
    <row r="16" spans="6:7" ht="12.75">
      <c r="F16" s="4"/>
      <c r="G16" s="4"/>
    </row>
    <row r="17" spans="1:9" ht="12.75">
      <c r="A17" t="s">
        <v>70</v>
      </c>
      <c r="F17" s="4" t="s">
        <v>22</v>
      </c>
      <c r="G17" s="4">
        <v>3439.363</v>
      </c>
      <c r="H17" s="4">
        <f>3439.363</f>
        <v>3439.363</v>
      </c>
      <c r="I17" s="63" t="s">
        <v>71</v>
      </c>
    </row>
    <row r="18" spans="1:9" ht="12.75">
      <c r="A18" t="s">
        <v>72</v>
      </c>
      <c r="F18" s="4"/>
      <c r="G18" s="62">
        <v>274.44</v>
      </c>
      <c r="H18" s="62">
        <v>274.44</v>
      </c>
      <c r="I18" s="64" t="s">
        <v>73</v>
      </c>
    </row>
    <row r="19" spans="1:9" ht="12.75">
      <c r="A19" t="s">
        <v>74</v>
      </c>
      <c r="F19" s="4"/>
      <c r="G19" s="4">
        <v>1457.32</v>
      </c>
      <c r="H19" s="4">
        <v>1457.32</v>
      </c>
      <c r="I19" s="64" t="s">
        <v>73</v>
      </c>
    </row>
    <row r="20" spans="1:9" ht="12.75">
      <c r="A20" t="s">
        <v>75</v>
      </c>
      <c r="F20" s="4"/>
      <c r="G20" s="4">
        <v>567.53</v>
      </c>
      <c r="H20" s="4">
        <v>567.53</v>
      </c>
      <c r="I20" s="64" t="s">
        <v>73</v>
      </c>
    </row>
    <row r="21" spans="1:9" ht="12.75">
      <c r="A21" t="s">
        <v>76</v>
      </c>
      <c r="F21" s="4"/>
      <c r="G21" s="4">
        <v>162.24</v>
      </c>
      <c r="H21" s="4">
        <v>162.24</v>
      </c>
      <c r="I21" s="64" t="s">
        <v>73</v>
      </c>
    </row>
    <row r="22" spans="1:9" ht="12.75">
      <c r="A22" t="s">
        <v>77</v>
      </c>
      <c r="F22" s="4"/>
      <c r="G22" s="4">
        <v>233.85</v>
      </c>
      <c r="H22" s="4">
        <v>233.85</v>
      </c>
      <c r="I22" s="64" t="s">
        <v>73</v>
      </c>
    </row>
    <row r="23" spans="1:9" ht="12.75">
      <c r="A23" s="13" t="s">
        <v>21</v>
      </c>
      <c r="B23" s="60"/>
      <c r="C23" s="60"/>
      <c r="D23" s="60"/>
      <c r="E23" s="60"/>
      <c r="F23" s="61"/>
      <c r="G23" s="65">
        <f>SUM(G17:G22)</f>
        <v>6134.7429999999995</v>
      </c>
      <c r="H23" s="65">
        <f>SUM(H17:H22)</f>
        <v>6134.7429999999995</v>
      </c>
      <c r="I23" s="66"/>
    </row>
    <row r="24" spans="7:8" ht="12.75">
      <c r="G24" s="15"/>
      <c r="H24" s="4"/>
    </row>
    <row r="25" spans="3:8" ht="12.75">
      <c r="C25" s="15"/>
      <c r="D25" s="15" t="s">
        <v>3</v>
      </c>
      <c r="H25" s="4"/>
    </row>
    <row r="26" ht="12.75">
      <c r="H26" s="4"/>
    </row>
    <row r="27" spans="1:9" ht="12.75">
      <c r="A27" t="s">
        <v>88</v>
      </c>
      <c r="G27" s="4">
        <v>1158.1</v>
      </c>
      <c r="H27" s="4">
        <v>1158.1</v>
      </c>
      <c r="I27" s="64" t="s">
        <v>73</v>
      </c>
    </row>
    <row r="28" spans="1:9" ht="12.75">
      <c r="A28" t="s">
        <v>89</v>
      </c>
      <c r="G28" s="4">
        <v>1071.52</v>
      </c>
      <c r="H28" s="4">
        <v>0</v>
      </c>
      <c r="I28" s="64"/>
    </row>
    <row r="29" spans="1:9" ht="12.75">
      <c r="A29" t="s">
        <v>81</v>
      </c>
      <c r="F29" s="4" t="s">
        <v>22</v>
      </c>
      <c r="G29" s="62">
        <v>990</v>
      </c>
      <c r="H29" s="62">
        <v>990</v>
      </c>
      <c r="I29" s="63" t="s">
        <v>71</v>
      </c>
    </row>
    <row r="30" spans="1:9" ht="12.75">
      <c r="A30" t="s">
        <v>82</v>
      </c>
      <c r="F30" s="4"/>
      <c r="G30" s="178">
        <f>157.08/1.18</f>
        <v>133.11864406779662</v>
      </c>
      <c r="H30" s="4">
        <v>133.12</v>
      </c>
      <c r="I30" s="63" t="s">
        <v>71</v>
      </c>
    </row>
    <row r="31" spans="1:9" ht="12.75">
      <c r="A31" s="13" t="s">
        <v>21</v>
      </c>
      <c r="B31" s="60"/>
      <c r="C31" s="60"/>
      <c r="D31" s="60"/>
      <c r="E31" s="60"/>
      <c r="F31" s="61"/>
      <c r="G31" s="67">
        <f>SUM(G27:G30)</f>
        <v>3352.7386440677965</v>
      </c>
      <c r="H31" s="67">
        <f>SUM(H27:H30)</f>
        <v>2281.22</v>
      </c>
      <c r="I31" s="66"/>
    </row>
    <row r="32" ht="12.75">
      <c r="H32" s="4"/>
    </row>
    <row r="33" spans="3:8" ht="12.75">
      <c r="C33" s="15"/>
      <c r="D33" s="15" t="s">
        <v>83</v>
      </c>
      <c r="H33" s="4"/>
    </row>
    <row r="34" ht="12.75">
      <c r="H34" s="4"/>
    </row>
    <row r="35" spans="1:9" ht="12.75">
      <c r="A35" s="13" t="s">
        <v>84</v>
      </c>
      <c r="B35" s="60"/>
      <c r="C35" s="60"/>
      <c r="D35" s="60"/>
      <c r="E35" s="60"/>
      <c r="F35" s="60"/>
      <c r="G35" s="68">
        <v>1007.03</v>
      </c>
      <c r="H35" s="67">
        <v>300</v>
      </c>
      <c r="I35" s="179" t="s">
        <v>73</v>
      </c>
    </row>
    <row r="36" ht="12.75">
      <c r="H36" s="4"/>
    </row>
    <row r="37" spans="4:8" ht="12.75">
      <c r="D37" s="15" t="s">
        <v>8</v>
      </c>
      <c r="H37" s="4"/>
    </row>
    <row r="38" ht="12.75">
      <c r="H38" s="4"/>
    </row>
    <row r="39" spans="1:9" ht="12.75">
      <c r="A39" t="s">
        <v>85</v>
      </c>
      <c r="G39" s="178">
        <f>161.28/1.18</f>
        <v>136.67796610169492</v>
      </c>
      <c r="H39" s="178">
        <f>161.28/1.18</f>
        <v>136.67796610169492</v>
      </c>
      <c r="I39" s="63" t="s">
        <v>71</v>
      </c>
    </row>
    <row r="40" spans="1:9" ht="12.75">
      <c r="A40" t="s">
        <v>86</v>
      </c>
      <c r="G40" s="178">
        <f>420/1.18</f>
        <v>355.93220338983053</v>
      </c>
      <c r="H40" s="178">
        <f>G40</f>
        <v>355.93220338983053</v>
      </c>
      <c r="I40" s="63" t="s">
        <v>71</v>
      </c>
    </row>
    <row r="41" spans="1:9" ht="12.75">
      <c r="A41" t="s">
        <v>87</v>
      </c>
      <c r="G41" s="178">
        <f>(122.32+115.2)/1.18</f>
        <v>201.28813559322035</v>
      </c>
      <c r="H41" s="178">
        <f>(122.32+115.2)/1.18</f>
        <v>201.28813559322035</v>
      </c>
      <c r="I41" s="63" t="s">
        <v>71</v>
      </c>
    </row>
    <row r="42" spans="1:9" ht="12.75" hidden="1">
      <c r="A42" t="s">
        <v>31</v>
      </c>
      <c r="G42" s="4"/>
      <c r="H42" s="4"/>
      <c r="I42" s="63"/>
    </row>
    <row r="43" spans="1:9" ht="12.75" hidden="1">
      <c r="A43" t="s">
        <v>32</v>
      </c>
      <c r="G43" s="4"/>
      <c r="H43" s="4"/>
      <c r="I43" s="63"/>
    </row>
    <row r="44" spans="1:9" ht="12.75">
      <c r="A44" s="13" t="s">
        <v>21</v>
      </c>
      <c r="B44" s="60"/>
      <c r="C44" s="60"/>
      <c r="D44" s="60"/>
      <c r="E44" s="60"/>
      <c r="F44" s="61"/>
      <c r="G44" s="67">
        <f>SUM(G39:G43)</f>
        <v>693.8983050847457</v>
      </c>
      <c r="H44" s="67">
        <f>SUM(H39:H43)</f>
        <v>693.8983050847457</v>
      </c>
      <c r="I44" s="66"/>
    </row>
    <row r="46" ht="12.75">
      <c r="D46" s="15" t="s">
        <v>23</v>
      </c>
    </row>
    <row r="48" spans="1:7" ht="12.75">
      <c r="A48" t="s">
        <v>91</v>
      </c>
      <c r="G48">
        <v>835.5</v>
      </c>
    </row>
    <row r="49" spans="1:9" ht="12.75">
      <c r="A49" t="s">
        <v>90</v>
      </c>
      <c r="G49">
        <v>1769.58</v>
      </c>
      <c r="I49" s="63"/>
    </row>
    <row r="50" spans="1:9" ht="12.75">
      <c r="A50" t="s">
        <v>92</v>
      </c>
      <c r="G50">
        <v>53.26</v>
      </c>
      <c r="I50" s="63"/>
    </row>
    <row r="51" spans="1:9" ht="12.75">
      <c r="A51" t="s">
        <v>93</v>
      </c>
      <c r="G51">
        <v>128.77</v>
      </c>
      <c r="I51" s="63"/>
    </row>
    <row r="52" spans="1:9" ht="12.75">
      <c r="A52" s="13" t="s">
        <v>21</v>
      </c>
      <c r="B52" s="60"/>
      <c r="C52" s="60"/>
      <c r="D52" s="60"/>
      <c r="E52" s="60"/>
      <c r="F52" s="61"/>
      <c r="G52" s="68">
        <f>SUM(G48:G51)</f>
        <v>2787.11</v>
      </c>
      <c r="H52" s="68">
        <f>SUM(H48:H51)</f>
        <v>0</v>
      </c>
      <c r="I52" s="14"/>
    </row>
    <row r="54" ht="12.75">
      <c r="D54" s="15" t="s">
        <v>7</v>
      </c>
    </row>
    <row r="56" spans="1:9" ht="12.75">
      <c r="A56" t="s">
        <v>78</v>
      </c>
      <c r="G56">
        <v>4551.08</v>
      </c>
      <c r="H56" s="69"/>
      <c r="I56" s="63" t="s">
        <v>80</v>
      </c>
    </row>
    <row r="57" spans="1:9" ht="12.75">
      <c r="A57" t="s">
        <v>79</v>
      </c>
      <c r="G57">
        <v>5002.96</v>
      </c>
      <c r="H57" s="69">
        <v>500</v>
      </c>
      <c r="I57" s="63" t="s">
        <v>80</v>
      </c>
    </row>
    <row r="58" ht="12.75">
      <c r="I58" s="63"/>
    </row>
    <row r="59" ht="12.75">
      <c r="I59" s="63"/>
    </row>
    <row r="61" spans="1:9" ht="12.75">
      <c r="A61" s="13" t="s">
        <v>21</v>
      </c>
      <c r="B61" s="60"/>
      <c r="C61" s="60"/>
      <c r="D61" s="60"/>
      <c r="E61" s="60"/>
      <c r="F61" s="61"/>
      <c r="G61" s="68">
        <f>SUM(G56:G60)</f>
        <v>9554.04</v>
      </c>
      <c r="H61" s="68">
        <f>SUM(H56:H60)</f>
        <v>500</v>
      </c>
      <c r="I61" s="14"/>
    </row>
    <row r="62" spans="2:6" ht="12.75">
      <c r="B62" s="19"/>
      <c r="C62" s="19"/>
      <c r="D62" s="19"/>
      <c r="F62" s="15"/>
    </row>
    <row r="63" spans="2:8" ht="12.75" hidden="1">
      <c r="B63" s="19"/>
      <c r="C63" s="19"/>
      <c r="D63" s="19"/>
      <c r="E63" s="30" t="s">
        <v>15</v>
      </c>
      <c r="F63" s="15"/>
      <c r="G63" s="79">
        <f>G61+G44+G31+G23</f>
        <v>19735.419949152543</v>
      </c>
      <c r="H63" s="79">
        <f>H61+H52+H44+H31+H23</f>
        <v>9609.861305084745</v>
      </c>
    </row>
    <row r="64" spans="2:8" ht="12.75" hidden="1">
      <c r="B64" s="19"/>
      <c r="C64" s="19"/>
      <c r="D64" s="19"/>
      <c r="E64" s="30"/>
      <c r="F64" s="15"/>
      <c r="G64" s="79"/>
      <c r="H64" s="79"/>
    </row>
    <row r="65" spans="2:8" ht="12.75" hidden="1">
      <c r="B65" s="19"/>
      <c r="C65" s="19"/>
      <c r="D65" s="19"/>
      <c r="F65" s="15"/>
      <c r="G65" s="79">
        <f>G63+G52</f>
        <v>22522.529949152544</v>
      </c>
      <c r="H65" t="s">
        <v>30</v>
      </c>
    </row>
    <row r="66" spans="2:7" ht="12.75" hidden="1">
      <c r="B66" s="19"/>
      <c r="C66" s="19"/>
      <c r="D66" s="19"/>
      <c r="F66" s="15"/>
      <c r="G66" s="79"/>
    </row>
    <row r="67" ht="12.75">
      <c r="F67" s="15"/>
    </row>
    <row r="68" spans="3:7" ht="12.75">
      <c r="C68" t="s">
        <v>0</v>
      </c>
      <c r="G68" t="s">
        <v>4</v>
      </c>
    </row>
    <row r="70" spans="1:3" ht="12.75">
      <c r="A70" s="75"/>
      <c r="B70" s="75"/>
      <c r="C70" s="75"/>
    </row>
    <row r="71" spans="2:4" ht="15">
      <c r="B71" s="76"/>
      <c r="C71" s="76"/>
      <c r="D71" s="76"/>
    </row>
    <row r="73" spans="1:2" ht="14.25">
      <c r="A73" s="77"/>
      <c r="B73" s="77"/>
    </row>
    <row r="74" spans="1:9" ht="14.25">
      <c r="A74" s="10"/>
      <c r="B74" s="78"/>
      <c r="C74" s="78"/>
      <c r="D74" s="10"/>
      <c r="E74" s="78"/>
      <c r="F74" s="10"/>
      <c r="G74" s="10"/>
      <c r="H74" s="10"/>
      <c r="I74" s="10"/>
    </row>
    <row r="75" spans="3:6" ht="12.75">
      <c r="C75" s="69"/>
      <c r="D75" s="69"/>
      <c r="E75" s="69"/>
      <c r="F75" s="69"/>
    </row>
    <row r="76" spans="3:6" ht="12.75">
      <c r="C76" s="69"/>
      <c r="D76" s="69"/>
      <c r="E76" s="69"/>
      <c r="F76" s="69"/>
    </row>
    <row r="77" spans="3:6" ht="12.75">
      <c r="C77" s="69"/>
      <c r="D77" s="69"/>
      <c r="E77" s="69"/>
      <c r="F77" s="69"/>
    </row>
    <row r="99" ht="12.75">
      <c r="B99" s="80"/>
    </row>
    <row r="142" spans="1:9" ht="12.75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2.75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ht="12.75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2.75">
      <c r="A145" s="12"/>
      <c r="B145" s="12"/>
      <c r="C145" s="12"/>
      <c r="D145" s="70"/>
      <c r="E145" s="12"/>
      <c r="F145" s="12"/>
      <c r="G145" s="12"/>
      <c r="H145" s="12"/>
      <c r="I145" s="12"/>
    </row>
    <row r="146" spans="1:9" ht="12.75">
      <c r="A146" s="12"/>
      <c r="B146" s="12"/>
      <c r="C146" s="12"/>
      <c r="D146" s="70"/>
      <c r="E146" s="12"/>
      <c r="F146" s="71"/>
      <c r="G146" s="71"/>
      <c r="H146" s="71"/>
      <c r="I146" s="12"/>
    </row>
    <row r="147" spans="1:9" ht="12.75">
      <c r="A147" s="12"/>
      <c r="B147" s="12"/>
      <c r="C147" s="12"/>
      <c r="D147" s="70"/>
      <c r="E147" s="12"/>
      <c r="F147" s="71"/>
      <c r="G147" s="71"/>
      <c r="H147" s="71"/>
      <c r="I147" s="12"/>
    </row>
    <row r="148" spans="1:9" ht="12.75">
      <c r="A148" s="12"/>
      <c r="B148" s="12"/>
      <c r="C148" s="12"/>
      <c r="D148" s="70"/>
      <c r="E148" s="12"/>
      <c r="F148" s="71"/>
      <c r="G148" s="71"/>
      <c r="H148" s="71"/>
      <c r="I148" s="12"/>
    </row>
    <row r="149" spans="1:9" ht="12.75">
      <c r="A149" s="12"/>
      <c r="B149" s="12"/>
      <c r="C149" s="12"/>
      <c r="D149" s="70"/>
      <c r="E149" s="12"/>
      <c r="F149" s="71"/>
      <c r="G149" s="71"/>
      <c r="H149" s="71"/>
      <c r="I149" s="12"/>
    </row>
    <row r="150" spans="1:9" ht="12.75">
      <c r="A150" s="12"/>
      <c r="B150" s="12"/>
      <c r="C150" s="12"/>
      <c r="D150" s="12"/>
      <c r="E150" s="12"/>
      <c r="F150" s="71"/>
      <c r="G150" s="71"/>
      <c r="H150" s="12"/>
      <c r="I150" s="12"/>
    </row>
    <row r="151" spans="1:9" ht="12.75">
      <c r="A151" s="12"/>
      <c r="B151" s="12"/>
      <c r="C151" s="12"/>
      <c r="D151" s="12"/>
      <c r="E151" s="12"/>
      <c r="F151" s="71"/>
      <c r="G151" s="71"/>
      <c r="H151" s="12"/>
      <c r="I151" s="12"/>
    </row>
    <row r="152" spans="1:9" ht="12.75">
      <c r="A152" s="12"/>
      <c r="B152" s="12"/>
      <c r="C152" s="12"/>
      <c r="D152" s="12"/>
      <c r="E152" s="12"/>
      <c r="F152" s="71"/>
      <c r="G152" s="71"/>
      <c r="H152" s="71"/>
      <c r="I152" s="214"/>
    </row>
    <row r="153" spans="1:9" ht="12.75">
      <c r="A153" s="12"/>
      <c r="B153" s="12"/>
      <c r="C153" s="12"/>
      <c r="D153" s="12"/>
      <c r="E153" s="12"/>
      <c r="F153" s="71"/>
      <c r="G153" s="246"/>
      <c r="H153" s="246"/>
      <c r="I153" s="247"/>
    </row>
    <row r="154" spans="1:9" ht="12.75">
      <c r="A154" s="12"/>
      <c r="B154" s="12"/>
      <c r="C154" s="12"/>
      <c r="D154" s="12"/>
      <c r="E154" s="12"/>
      <c r="F154" s="71"/>
      <c r="G154" s="71"/>
      <c r="H154" s="71"/>
      <c r="I154" s="214"/>
    </row>
    <row r="155" spans="1:9" ht="12.75">
      <c r="A155" s="12"/>
      <c r="B155" s="12"/>
      <c r="C155" s="12"/>
      <c r="D155" s="12"/>
      <c r="E155" s="12"/>
      <c r="F155" s="71"/>
      <c r="G155" s="71"/>
      <c r="H155" s="71"/>
      <c r="I155" s="214"/>
    </row>
    <row r="156" spans="1:9" ht="12.75">
      <c r="A156" s="12"/>
      <c r="B156" s="12"/>
      <c r="C156" s="12"/>
      <c r="D156" s="12"/>
      <c r="E156" s="12"/>
      <c r="F156" s="71"/>
      <c r="G156" s="71"/>
      <c r="H156" s="71"/>
      <c r="I156" s="214"/>
    </row>
    <row r="157" spans="1:9" ht="12.75">
      <c r="A157" s="12"/>
      <c r="B157" s="12"/>
      <c r="C157" s="12"/>
      <c r="D157" s="12"/>
      <c r="E157" s="12"/>
      <c r="F157" s="71"/>
      <c r="G157" s="248"/>
      <c r="H157" s="248"/>
      <c r="I157" s="216"/>
    </row>
    <row r="158" spans="1:9" ht="12.75">
      <c r="A158" s="12"/>
      <c r="B158" s="12"/>
      <c r="C158" s="12"/>
      <c r="D158" s="12"/>
      <c r="E158" s="12"/>
      <c r="F158" s="12"/>
      <c r="G158" s="70"/>
      <c r="H158" s="71"/>
      <c r="I158" s="12"/>
    </row>
    <row r="159" spans="1:9" ht="12.75">
      <c r="A159" s="12"/>
      <c r="B159" s="12"/>
      <c r="C159" s="70"/>
      <c r="D159" s="70"/>
      <c r="E159" s="12"/>
      <c r="F159" s="12"/>
      <c r="G159" s="12"/>
      <c r="H159" s="71"/>
      <c r="I159" s="12"/>
    </row>
    <row r="160" spans="1:9" ht="12.75">
      <c r="A160" s="12"/>
      <c r="B160" s="12"/>
      <c r="C160" s="12"/>
      <c r="D160" s="12"/>
      <c r="E160" s="12"/>
      <c r="F160" s="12"/>
      <c r="G160" s="12"/>
      <c r="H160" s="71"/>
      <c r="I160" s="12"/>
    </row>
    <row r="161" spans="1:9" ht="12.75">
      <c r="A161" s="12"/>
      <c r="B161" s="12"/>
      <c r="C161" s="12"/>
      <c r="D161" s="12"/>
      <c r="E161" s="12"/>
      <c r="F161" s="12"/>
      <c r="G161" s="71"/>
      <c r="H161" s="71"/>
      <c r="I161" s="214"/>
    </row>
    <row r="162" spans="1:9" ht="12.75">
      <c r="A162" s="12"/>
      <c r="B162" s="12"/>
      <c r="C162" s="12"/>
      <c r="D162" s="12"/>
      <c r="E162" s="12"/>
      <c r="F162" s="71"/>
      <c r="G162" s="71"/>
      <c r="H162" s="71"/>
      <c r="I162" s="214"/>
    </row>
    <row r="163" spans="1:9" ht="12.75">
      <c r="A163" s="12"/>
      <c r="B163" s="12"/>
      <c r="C163" s="12"/>
      <c r="D163" s="12"/>
      <c r="E163" s="12"/>
      <c r="F163" s="71"/>
      <c r="G163" s="71"/>
      <c r="H163" s="71"/>
      <c r="I163" s="214"/>
    </row>
    <row r="164" spans="1:9" ht="12.75">
      <c r="A164" s="12"/>
      <c r="B164" s="12"/>
      <c r="C164" s="12"/>
      <c r="D164" s="12"/>
      <c r="E164" s="12"/>
      <c r="F164" s="71"/>
      <c r="G164" s="249"/>
      <c r="H164" s="249"/>
      <c r="I164" s="216"/>
    </row>
    <row r="165" spans="1:9" ht="12.75">
      <c r="A165" s="12"/>
      <c r="B165" s="12"/>
      <c r="C165" s="12"/>
      <c r="D165" s="12"/>
      <c r="E165" s="12"/>
      <c r="F165" s="12"/>
      <c r="G165" s="12"/>
      <c r="H165" s="71"/>
      <c r="I165" s="12"/>
    </row>
    <row r="166" spans="1:9" ht="12.75">
      <c r="A166" s="12"/>
      <c r="B166" s="12"/>
      <c r="C166" s="12"/>
      <c r="D166" s="70"/>
      <c r="E166" s="12"/>
      <c r="F166" s="12"/>
      <c r="G166" s="12"/>
      <c r="H166" s="71"/>
      <c r="I166" s="12"/>
    </row>
    <row r="167" spans="1:9" ht="12.75">
      <c r="A167" s="12"/>
      <c r="B167" s="12"/>
      <c r="C167" s="12"/>
      <c r="D167" s="12"/>
      <c r="E167" s="12"/>
      <c r="F167" s="12"/>
      <c r="G167" s="12"/>
      <c r="H167" s="71"/>
      <c r="I167" s="12"/>
    </row>
    <row r="168" spans="1:9" ht="12.75">
      <c r="A168" s="12"/>
      <c r="B168" s="12"/>
      <c r="C168" s="12"/>
      <c r="D168" s="12"/>
      <c r="E168" s="12"/>
      <c r="F168" s="12"/>
      <c r="G168" s="71"/>
      <c r="H168" s="71"/>
      <c r="I168" s="214"/>
    </row>
    <row r="169" spans="1:9" ht="12.75">
      <c r="A169" s="12"/>
      <c r="B169" s="12"/>
      <c r="C169" s="12"/>
      <c r="D169" s="12"/>
      <c r="E169" s="12"/>
      <c r="F169" s="12"/>
      <c r="G169" s="71"/>
      <c r="H169" s="71"/>
      <c r="I169" s="214"/>
    </row>
    <row r="170" spans="1:9" ht="12.75">
      <c r="A170" s="12"/>
      <c r="B170" s="12"/>
      <c r="C170" s="12"/>
      <c r="D170" s="12"/>
      <c r="E170" s="12"/>
      <c r="F170" s="12"/>
      <c r="G170" s="71"/>
      <c r="H170" s="71"/>
      <c r="I170" s="214"/>
    </row>
    <row r="171" spans="1:9" ht="12.75">
      <c r="A171" s="12"/>
      <c r="B171" s="12"/>
      <c r="C171" s="12"/>
      <c r="D171" s="12"/>
      <c r="E171" s="12"/>
      <c r="F171" s="12"/>
      <c r="G171" s="71"/>
      <c r="H171" s="71"/>
      <c r="I171" s="214"/>
    </row>
    <row r="172" spans="1:9" ht="12.75">
      <c r="A172" s="12"/>
      <c r="B172" s="12"/>
      <c r="C172" s="12"/>
      <c r="D172" s="12"/>
      <c r="E172" s="12"/>
      <c r="F172" s="12"/>
      <c r="G172" s="246"/>
      <c r="H172" s="71"/>
      <c r="I172" s="214"/>
    </row>
    <row r="173" spans="1:9" ht="12.75">
      <c r="A173" s="12"/>
      <c r="B173" s="12"/>
      <c r="C173" s="12"/>
      <c r="D173" s="12"/>
      <c r="E173" s="12"/>
      <c r="F173" s="71"/>
      <c r="G173" s="249"/>
      <c r="H173" s="249"/>
      <c r="I173" s="216"/>
    </row>
    <row r="174" spans="1:9" ht="12.75">
      <c r="A174" s="12"/>
      <c r="B174" s="12"/>
      <c r="C174" s="12"/>
      <c r="D174" s="12"/>
      <c r="E174" s="12"/>
      <c r="F174" s="12"/>
      <c r="G174" s="12"/>
      <c r="H174" s="12"/>
      <c r="I174" s="12"/>
    </row>
    <row r="175" spans="1:9" ht="12.75" hidden="1">
      <c r="A175" s="12"/>
      <c r="B175" s="12"/>
      <c r="C175" s="12"/>
      <c r="D175" s="70"/>
      <c r="E175" s="12"/>
      <c r="F175" s="12"/>
      <c r="G175" s="12"/>
      <c r="H175" s="12"/>
      <c r="I175" s="12"/>
    </row>
    <row r="176" spans="1:9" ht="12.75" hidden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2.75" hidden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2.75" hidden="1">
      <c r="A178" s="12"/>
      <c r="B178" s="12"/>
      <c r="C178" s="12"/>
      <c r="D178" s="12"/>
      <c r="E178" s="12"/>
      <c r="F178" s="12"/>
      <c r="G178" s="12"/>
      <c r="H178" s="12"/>
      <c r="I178" s="214"/>
    </row>
    <row r="179" spans="1:9" ht="12.75" hidden="1">
      <c r="A179" s="12"/>
      <c r="B179" s="12"/>
      <c r="C179" s="12"/>
      <c r="D179" s="12"/>
      <c r="E179" s="12"/>
      <c r="F179" s="12"/>
      <c r="G179" s="12"/>
      <c r="H179" s="12"/>
      <c r="I179" s="214"/>
    </row>
    <row r="180" spans="1:9" ht="12.75" hidden="1">
      <c r="A180" s="12"/>
      <c r="B180" s="12"/>
      <c r="C180" s="12"/>
      <c r="D180" s="12"/>
      <c r="E180" s="12"/>
      <c r="F180" s="12"/>
      <c r="G180" s="12"/>
      <c r="H180" s="12"/>
      <c r="I180" s="214"/>
    </row>
    <row r="181" spans="1:9" ht="12.75" hidden="1">
      <c r="A181" s="12"/>
      <c r="B181" s="12"/>
      <c r="C181" s="12"/>
      <c r="D181" s="12"/>
      <c r="E181" s="12"/>
      <c r="F181" s="12"/>
      <c r="G181" s="12"/>
      <c r="H181" s="12"/>
      <c r="I181" s="12"/>
    </row>
    <row r="182" spans="1:9" ht="12.75" hidden="1">
      <c r="A182" s="12"/>
      <c r="B182" s="12"/>
      <c r="C182" s="12"/>
      <c r="D182" s="12"/>
      <c r="E182" s="12"/>
      <c r="F182" s="71"/>
      <c r="G182" s="70"/>
      <c r="H182" s="12"/>
      <c r="I182" s="12"/>
    </row>
    <row r="183" spans="1:9" ht="12.75">
      <c r="A183" s="12"/>
      <c r="B183" s="12"/>
      <c r="C183" s="12"/>
      <c r="D183" s="12"/>
      <c r="E183" s="12"/>
      <c r="F183" s="12"/>
      <c r="G183" s="12"/>
      <c r="H183" s="12"/>
      <c r="I183" s="12"/>
    </row>
    <row r="184" spans="1:9" ht="12.75">
      <c r="A184" s="12"/>
      <c r="B184" s="12"/>
      <c r="C184" s="12"/>
      <c r="D184" s="70"/>
      <c r="E184" s="12"/>
      <c r="F184" s="12"/>
      <c r="G184" s="12"/>
      <c r="H184" s="12"/>
      <c r="I184" s="12"/>
    </row>
    <row r="185" spans="1:9" ht="12.75">
      <c r="A185" s="12"/>
      <c r="B185" s="12"/>
      <c r="C185" s="12"/>
      <c r="D185" s="12"/>
      <c r="E185" s="12"/>
      <c r="F185" s="12"/>
      <c r="G185" s="12"/>
      <c r="H185" s="12"/>
      <c r="I185" s="12"/>
    </row>
    <row r="186" spans="1:9" ht="12.75">
      <c r="A186" s="12"/>
      <c r="B186" s="12"/>
      <c r="C186" s="12"/>
      <c r="D186" s="12"/>
      <c r="E186" s="12"/>
      <c r="F186" s="12"/>
      <c r="G186" s="12"/>
      <c r="H186" s="12"/>
      <c r="I186" s="214"/>
    </row>
    <row r="187" spans="1:9" ht="12.75">
      <c r="A187" s="12"/>
      <c r="B187" s="12"/>
      <c r="C187" s="12"/>
      <c r="D187" s="12"/>
      <c r="E187" s="12"/>
      <c r="F187" s="12"/>
      <c r="G187" s="12"/>
      <c r="H187" s="12"/>
      <c r="I187" s="214"/>
    </row>
    <row r="188" spans="1:9" ht="12.75">
      <c r="A188" s="12"/>
      <c r="B188" s="12"/>
      <c r="C188" s="12"/>
      <c r="D188" s="12"/>
      <c r="E188" s="12"/>
      <c r="F188" s="12"/>
      <c r="G188" s="12"/>
      <c r="H188" s="12"/>
      <c r="I188" s="214"/>
    </row>
    <row r="189" spans="1:9" ht="12.75">
      <c r="A189" s="12"/>
      <c r="B189" s="12"/>
      <c r="C189" s="12"/>
      <c r="D189" s="12"/>
      <c r="E189" s="12"/>
      <c r="F189" s="12"/>
      <c r="G189" s="12"/>
      <c r="H189" s="12"/>
      <c r="I189" s="214"/>
    </row>
    <row r="190" spans="1:9" ht="12.75">
      <c r="A190" s="12"/>
      <c r="B190" s="12"/>
      <c r="C190" s="12"/>
      <c r="D190" s="12"/>
      <c r="E190" s="12"/>
      <c r="F190" s="12"/>
      <c r="G190" s="12"/>
      <c r="H190" s="12"/>
      <c r="I190" s="12"/>
    </row>
    <row r="191" spans="1:9" ht="12.75">
      <c r="A191" s="12"/>
      <c r="B191" s="12"/>
      <c r="C191" s="12"/>
      <c r="D191" s="12"/>
      <c r="E191" s="12"/>
      <c r="F191" s="71"/>
      <c r="G191" s="70"/>
      <c r="H191" s="248"/>
      <c r="I191" s="12"/>
    </row>
    <row r="192" spans="1:9" ht="12.75">
      <c r="A192" s="12"/>
      <c r="B192" s="81"/>
      <c r="C192" s="81"/>
      <c r="D192" s="81"/>
      <c r="E192" s="12"/>
      <c r="F192" s="70"/>
      <c r="G192" s="12"/>
      <c r="H192" s="12"/>
      <c r="I192" s="12"/>
    </row>
    <row r="193" spans="1:9" ht="12.75">
      <c r="A193" s="12"/>
      <c r="B193" s="81"/>
      <c r="C193" s="81"/>
      <c r="D193" s="81"/>
      <c r="E193" s="82"/>
      <c r="F193" s="70"/>
      <c r="G193" s="250"/>
      <c r="H193" s="250"/>
      <c r="I193" s="12"/>
    </row>
    <row r="194" spans="1:9" ht="12.75">
      <c r="A194" s="12"/>
      <c r="B194" s="81"/>
      <c r="C194" s="81"/>
      <c r="D194" s="81"/>
      <c r="E194" s="82"/>
      <c r="F194" s="70"/>
      <c r="G194" s="250"/>
      <c r="H194" s="250"/>
      <c r="I194" s="12"/>
    </row>
    <row r="195" spans="1:9" ht="12.75">
      <c r="A195" s="70"/>
      <c r="B195" s="81"/>
      <c r="C195" s="81"/>
      <c r="D195" s="70"/>
      <c r="E195" s="12"/>
      <c r="F195" s="70"/>
      <c r="G195" s="250"/>
      <c r="H195" s="12"/>
      <c r="I195" s="12"/>
    </row>
    <row r="196" spans="1:9" ht="12.75">
      <c r="A196" s="12"/>
      <c r="B196" s="81"/>
      <c r="C196" s="81"/>
      <c r="D196" s="81"/>
      <c r="E196" s="12"/>
      <c r="F196" s="70"/>
      <c r="G196" s="250"/>
      <c r="H196" s="12"/>
      <c r="I196" s="12"/>
    </row>
    <row r="197" spans="1:9" ht="12.75" hidden="1">
      <c r="A197" s="12"/>
      <c r="B197" s="12"/>
      <c r="C197" s="12"/>
      <c r="D197" s="12"/>
      <c r="E197" s="12"/>
      <c r="F197" s="70"/>
      <c r="G197" s="12"/>
      <c r="H197" s="12"/>
      <c r="I197" s="12"/>
    </row>
    <row r="198" spans="1:9" ht="12.75" hidden="1">
      <c r="A198" s="12"/>
      <c r="B198" s="12"/>
      <c r="C198" s="12"/>
      <c r="D198" s="12"/>
      <c r="E198" s="12"/>
      <c r="F198" s="12"/>
      <c r="G198" s="12"/>
      <c r="H198" s="12"/>
      <c r="I198" s="12"/>
    </row>
    <row r="199" spans="1:9" ht="12.75" hidden="1">
      <c r="A199" s="12"/>
      <c r="B199" s="12"/>
      <c r="C199" s="12"/>
      <c r="D199" s="12"/>
      <c r="E199" s="12"/>
      <c r="F199" s="12"/>
      <c r="G199" s="12"/>
      <c r="H199" s="12"/>
      <c r="I199" s="12"/>
    </row>
    <row r="200" spans="1:9" ht="12.75">
      <c r="A200" s="12"/>
      <c r="B200" s="12"/>
      <c r="C200" s="12"/>
      <c r="D200" s="12"/>
      <c r="E200" s="12"/>
      <c r="F200" s="12"/>
      <c r="G200" s="12"/>
      <c r="H200" s="12"/>
      <c r="I200" s="12"/>
    </row>
    <row r="201" spans="1:9" ht="12.75">
      <c r="A201" s="70"/>
      <c r="B201" s="12"/>
      <c r="C201" s="12"/>
      <c r="D201" s="12"/>
      <c r="E201" s="12"/>
      <c r="F201" s="12"/>
      <c r="G201" s="12"/>
      <c r="H201" s="12"/>
      <c r="I201" s="12"/>
    </row>
    <row r="202" spans="1:9" ht="12.75">
      <c r="A202" s="12"/>
      <c r="B202" s="12"/>
      <c r="C202" s="12"/>
      <c r="D202" s="12"/>
      <c r="E202" s="12"/>
      <c r="F202" s="12"/>
      <c r="G202" s="12"/>
      <c r="H202" s="12"/>
      <c r="I202" s="12"/>
    </row>
    <row r="203" spans="1:9" ht="12.75">
      <c r="A203" s="12"/>
      <c r="B203" s="12"/>
      <c r="C203" s="12"/>
      <c r="D203" s="12"/>
      <c r="E203" s="12"/>
      <c r="F203" s="12"/>
      <c r="G203" s="251"/>
      <c r="H203" s="12"/>
      <c r="I203" s="12"/>
    </row>
    <row r="204" spans="1:9" ht="12.75">
      <c r="A204" s="12"/>
      <c r="B204" s="12"/>
      <c r="C204" s="12"/>
      <c r="D204" s="12"/>
      <c r="E204" s="12"/>
      <c r="F204" s="12"/>
      <c r="G204" s="252"/>
      <c r="H204" s="12"/>
      <c r="I204" s="12"/>
    </row>
    <row r="205" spans="1:9" ht="12.75">
      <c r="A205" s="12"/>
      <c r="B205" s="12"/>
      <c r="C205" s="12"/>
      <c r="D205" s="12"/>
      <c r="E205" s="12"/>
      <c r="F205" s="12"/>
      <c r="G205" s="252"/>
      <c r="H205" s="12"/>
      <c r="I205" s="12"/>
    </row>
    <row r="206" spans="1:9" ht="12.75">
      <c r="A206" s="12"/>
      <c r="B206" s="12"/>
      <c r="C206" s="12"/>
      <c r="D206" s="12"/>
      <c r="E206" s="12"/>
      <c r="F206" s="12"/>
      <c r="G206" s="252"/>
      <c r="H206" s="12"/>
      <c r="I206" s="12"/>
    </row>
    <row r="207" spans="1:9" ht="12.75">
      <c r="A207" s="12"/>
      <c r="B207" s="12"/>
      <c r="C207" s="12"/>
      <c r="D207" s="12"/>
      <c r="E207" s="12"/>
      <c r="F207" s="12"/>
      <c r="G207" s="252"/>
      <c r="H207" s="12"/>
      <c r="I207" s="12"/>
    </row>
    <row r="208" spans="1:9" ht="12.75">
      <c r="A208" s="12"/>
      <c r="B208" s="12"/>
      <c r="C208" s="12"/>
      <c r="D208" s="12"/>
      <c r="E208" s="12"/>
      <c r="F208" s="12"/>
      <c r="G208" s="252"/>
      <c r="H208" s="12"/>
      <c r="I208" s="12"/>
    </row>
    <row r="209" spans="1:9" ht="12.75">
      <c r="A209" s="12"/>
      <c r="B209" s="12"/>
      <c r="C209" s="12"/>
      <c r="D209" s="12"/>
      <c r="E209" s="12"/>
      <c r="F209" s="12"/>
      <c r="G209" s="252"/>
      <c r="H209" s="12"/>
      <c r="I209" s="12"/>
    </row>
    <row r="210" spans="1:9" ht="12.75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9" ht="12.75">
      <c r="A211" s="12"/>
      <c r="B211" s="70"/>
      <c r="C211" s="12"/>
      <c r="D211" s="12"/>
      <c r="E211" s="12"/>
      <c r="F211" s="12"/>
      <c r="G211" s="253"/>
      <c r="H211" s="12"/>
      <c r="I211" s="12"/>
    </row>
    <row r="212" spans="1:9" ht="12.75">
      <c r="A212" s="12"/>
      <c r="B212" s="70"/>
      <c r="C212" s="12"/>
      <c r="D212" s="12"/>
      <c r="E212" s="12"/>
      <c r="F212" s="12"/>
      <c r="G212" s="253"/>
      <c r="H212" s="12"/>
      <c r="I212" s="12"/>
    </row>
    <row r="213" spans="1:9" ht="12.75">
      <c r="A213" s="12"/>
      <c r="B213" s="12"/>
      <c r="C213" s="12"/>
      <c r="D213" s="12"/>
      <c r="E213" s="12"/>
      <c r="F213" s="12"/>
      <c r="G213" s="12"/>
      <c r="H213" s="12"/>
      <c r="I213" s="12"/>
    </row>
    <row r="214" spans="1:9" ht="12.75">
      <c r="A214" s="70"/>
      <c r="B214" s="12"/>
      <c r="C214" s="12"/>
      <c r="D214" s="12"/>
      <c r="E214" s="12"/>
      <c r="F214" s="12"/>
      <c r="G214" s="12"/>
      <c r="H214" s="12"/>
      <c r="I214" s="12"/>
    </row>
    <row r="215" spans="1:9" ht="12.75">
      <c r="A215" s="12"/>
      <c r="B215" s="12"/>
      <c r="C215" s="12"/>
      <c r="D215" s="12"/>
      <c r="E215" s="12"/>
      <c r="F215" s="12"/>
      <c r="G215" s="12"/>
      <c r="H215" s="12"/>
      <c r="I215" s="12"/>
    </row>
    <row r="216" spans="1:9" ht="12.75">
      <c r="A216" s="12"/>
      <c r="B216" s="12"/>
      <c r="C216" s="12"/>
      <c r="D216" s="12"/>
      <c r="E216" s="12"/>
      <c r="F216" s="12"/>
      <c r="G216" s="252"/>
      <c r="H216" s="12"/>
      <c r="I216" s="12"/>
    </row>
    <row r="217" spans="1:9" ht="12.75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ht="12.7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ht="12.75">
      <c r="A219" s="12"/>
      <c r="B219" s="12"/>
      <c r="C219" s="12"/>
      <c r="D219" s="12"/>
      <c r="E219" s="12"/>
      <c r="F219" s="12"/>
      <c r="G219" s="42"/>
      <c r="H219" s="12"/>
      <c r="I219" s="12"/>
    </row>
    <row r="220" spans="1:9" ht="12.75">
      <c r="A220" s="12"/>
      <c r="B220" s="12"/>
      <c r="C220" s="12"/>
      <c r="D220" s="12"/>
      <c r="E220" s="12"/>
      <c r="F220" s="12"/>
      <c r="G220" s="252"/>
      <c r="H220" s="12"/>
      <c r="I220" s="12"/>
    </row>
    <row r="221" spans="1:9" ht="12.75">
      <c r="A221" s="12"/>
      <c r="B221" s="12"/>
      <c r="C221" s="12"/>
      <c r="D221" s="12"/>
      <c r="E221" s="12"/>
      <c r="F221" s="12"/>
      <c r="G221" s="252"/>
      <c r="H221" s="12"/>
      <c r="I221" s="12"/>
    </row>
    <row r="222" spans="1:9" ht="12.75">
      <c r="A222" s="12"/>
      <c r="B222" s="12"/>
      <c r="C222" s="12"/>
      <c r="D222" s="12"/>
      <c r="E222" s="12"/>
      <c r="F222" s="12"/>
      <c r="G222" s="252"/>
      <c r="H222" s="12"/>
      <c r="I222" s="12"/>
    </row>
    <row r="223" spans="1:9" ht="12.75">
      <c r="A223" s="12"/>
      <c r="B223" s="12"/>
      <c r="C223" s="12"/>
      <c r="D223" s="12"/>
      <c r="E223" s="12"/>
      <c r="F223" s="12"/>
      <c r="G223" s="252"/>
      <c r="H223" s="12"/>
      <c r="I223" s="12"/>
    </row>
    <row r="224" spans="1:9" ht="12.75">
      <c r="A224" s="12"/>
      <c r="B224" s="12"/>
      <c r="C224" s="12"/>
      <c r="D224" s="12"/>
      <c r="E224" s="12"/>
      <c r="F224" s="12"/>
      <c r="G224" s="252"/>
      <c r="H224" s="12"/>
      <c r="I224" s="12"/>
    </row>
    <row r="225" spans="1:9" ht="12.75">
      <c r="A225" s="12"/>
      <c r="B225" s="12"/>
      <c r="C225" s="12"/>
      <c r="D225" s="12"/>
      <c r="E225" s="12"/>
      <c r="F225" s="12"/>
      <c r="G225" s="252"/>
      <c r="H225" s="12"/>
      <c r="I225" s="12"/>
    </row>
    <row r="226" spans="1:9" ht="12.75">
      <c r="A226" s="12"/>
      <c r="B226" s="12"/>
      <c r="C226" s="12"/>
      <c r="D226" s="12"/>
      <c r="E226" s="12"/>
      <c r="F226" s="12"/>
      <c r="G226" s="254"/>
      <c r="H226" s="12"/>
      <c r="I226" s="12"/>
    </row>
    <row r="227" spans="1:9" ht="12.75">
      <c r="A227" s="12"/>
      <c r="B227" s="12"/>
      <c r="C227" s="12"/>
      <c r="D227" s="12"/>
      <c r="E227" s="12"/>
      <c r="F227" s="12"/>
      <c r="G227" s="12"/>
      <c r="H227" s="12"/>
      <c r="I227" s="12"/>
    </row>
    <row r="228" spans="1:9" ht="12.75">
      <c r="A228" s="12"/>
      <c r="B228" s="12"/>
      <c r="C228" s="12"/>
      <c r="D228" s="12"/>
      <c r="E228" s="12"/>
      <c r="F228" s="12"/>
      <c r="G228" s="12"/>
      <c r="H228" s="12"/>
      <c r="I228" s="12"/>
    </row>
    <row r="229" spans="1:9" ht="12.75">
      <c r="A229" s="12"/>
      <c r="B229" s="70"/>
      <c r="C229" s="12"/>
      <c r="D229" s="12"/>
      <c r="E229" s="12"/>
      <c r="F229" s="12"/>
      <c r="G229" s="241"/>
      <c r="H229" s="12"/>
      <c r="I229" s="81"/>
    </row>
    <row r="230" spans="1:9" ht="12.75">
      <c r="A230" s="12"/>
      <c r="B230" s="12"/>
      <c r="C230" s="12"/>
      <c r="D230" s="12"/>
      <c r="E230" s="12"/>
      <c r="F230" s="12"/>
      <c r="G230" s="12"/>
      <c r="H230" s="12"/>
      <c r="I230" s="12"/>
    </row>
    <row r="231" spans="1:9" ht="12.75">
      <c r="A231" s="12"/>
      <c r="B231" s="70"/>
      <c r="C231" s="12"/>
      <c r="D231" s="12"/>
      <c r="E231" s="12"/>
      <c r="F231" s="12"/>
      <c r="G231" s="255"/>
      <c r="H231" s="12"/>
      <c r="I231" s="12"/>
    </row>
    <row r="232" spans="1:9" ht="12.75">
      <c r="A232" s="12"/>
      <c r="B232" s="12"/>
      <c r="C232" s="12"/>
      <c r="D232" s="12"/>
      <c r="E232" s="12"/>
      <c r="F232" s="12"/>
      <c r="G232" s="12"/>
      <c r="H232" s="12"/>
      <c r="I232" s="12"/>
    </row>
    <row r="233" spans="1:9" ht="12.75">
      <c r="A233" s="12"/>
      <c r="B233" s="12"/>
      <c r="C233" s="12"/>
      <c r="D233" s="12"/>
      <c r="E233" s="12"/>
      <c r="F233" s="12"/>
      <c r="G233" s="12"/>
      <c r="H233" s="12"/>
      <c r="I233" s="12"/>
    </row>
    <row r="234" spans="1:9" ht="12.75">
      <c r="A234" s="12"/>
      <c r="B234" s="12"/>
      <c r="C234" s="12"/>
      <c r="D234" s="12"/>
      <c r="E234" s="12"/>
      <c r="F234" s="12"/>
      <c r="G234" s="12"/>
      <c r="H234" s="12"/>
      <c r="I234" s="12"/>
    </row>
    <row r="235" spans="1:9" ht="12.75">
      <c r="A235" s="12"/>
      <c r="B235" s="12"/>
      <c r="C235" s="12"/>
      <c r="D235" s="12"/>
      <c r="E235" s="12"/>
      <c r="F235" s="12"/>
      <c r="G235" s="12"/>
      <c r="H235" s="12"/>
      <c r="I235" s="12"/>
    </row>
    <row r="236" spans="1:9" ht="12.75">
      <c r="A236" s="12"/>
      <c r="B236" s="12"/>
      <c r="C236" s="12"/>
      <c r="D236" s="12"/>
      <c r="E236" s="12"/>
      <c r="F236" s="12"/>
      <c r="G236" s="12"/>
      <c r="H236" s="12"/>
      <c r="I236" s="12"/>
    </row>
    <row r="237" spans="1:9" ht="12.75">
      <c r="A237" s="12"/>
      <c r="B237" s="12"/>
      <c r="C237" s="12"/>
      <c r="D237" s="12"/>
      <c r="E237" s="12"/>
      <c r="F237" s="12"/>
      <c r="G237" s="12"/>
      <c r="H237" s="12"/>
      <c r="I237" s="12"/>
    </row>
    <row r="238" spans="1:9" ht="12.75">
      <c r="A238" s="12"/>
      <c r="B238" s="12"/>
      <c r="C238" s="12"/>
      <c r="D238" s="12"/>
      <c r="E238" s="12"/>
      <c r="F238" s="12"/>
      <c r="G238" s="12"/>
      <c r="H238" s="12"/>
      <c r="I238" s="12"/>
    </row>
    <row r="239" spans="1:9" ht="12.75">
      <c r="A239" s="12"/>
      <c r="B239" s="12"/>
      <c r="C239" s="12"/>
      <c r="D239" s="12"/>
      <c r="E239" s="12"/>
      <c r="F239" s="12"/>
      <c r="G239" s="12"/>
      <c r="H239" s="12"/>
      <c r="I239" s="12"/>
    </row>
    <row r="240" spans="1:9" ht="12.75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 ht="12.75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 ht="12.75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 ht="12.75">
      <c r="A243" s="12"/>
      <c r="B243" s="12"/>
      <c r="C243" s="12"/>
      <c r="D243" s="70"/>
      <c r="E243" s="12"/>
      <c r="F243" s="12"/>
      <c r="G243" s="12"/>
      <c r="H243" s="12"/>
      <c r="I243" s="12"/>
    </row>
    <row r="244" spans="1:9" ht="12.75">
      <c r="A244" s="12"/>
      <c r="B244" s="12"/>
      <c r="C244" s="12"/>
      <c r="D244" s="70"/>
      <c r="E244" s="12"/>
      <c r="F244" s="71"/>
      <c r="G244" s="71"/>
      <c r="H244" s="71"/>
      <c r="I244" s="12"/>
    </row>
    <row r="245" spans="1:9" ht="12.75">
      <c r="A245" s="12"/>
      <c r="B245" s="12"/>
      <c r="C245" s="12"/>
      <c r="D245" s="70"/>
      <c r="E245" s="12"/>
      <c r="F245" s="71"/>
      <c r="G245" s="71"/>
      <c r="H245" s="71"/>
      <c r="I245" s="12"/>
    </row>
    <row r="246" spans="1:9" ht="12.75" hidden="1">
      <c r="A246" s="12"/>
      <c r="B246" s="12"/>
      <c r="C246" s="12"/>
      <c r="D246" s="70"/>
      <c r="E246" s="12"/>
      <c r="F246" s="71"/>
      <c r="G246" s="71"/>
      <c r="H246" s="71"/>
      <c r="I246" s="12"/>
    </row>
    <row r="247" spans="1:9" ht="12.75">
      <c r="A247" s="12"/>
      <c r="B247" s="12"/>
      <c r="C247" s="12"/>
      <c r="D247" s="70"/>
      <c r="E247" s="12"/>
      <c r="F247" s="71"/>
      <c r="G247" s="71"/>
      <c r="H247" s="71"/>
      <c r="I247" s="12"/>
    </row>
    <row r="248" spans="1:9" ht="12.75">
      <c r="A248" s="12"/>
      <c r="B248" s="12"/>
      <c r="C248" s="12"/>
      <c r="D248" s="12"/>
      <c r="E248" s="12"/>
      <c r="F248" s="71"/>
      <c r="G248" s="71"/>
      <c r="H248" s="12"/>
      <c r="I248" s="12"/>
    </row>
    <row r="249" spans="1:9" ht="12.75">
      <c r="A249" s="12"/>
      <c r="B249" s="12"/>
      <c r="C249" s="70"/>
      <c r="D249" s="12"/>
      <c r="E249" s="12"/>
      <c r="F249" s="71"/>
      <c r="G249" s="71"/>
      <c r="H249" s="12"/>
      <c r="I249" s="12"/>
    </row>
    <row r="250" spans="1:9" ht="12.75">
      <c r="A250" s="12"/>
      <c r="B250" s="12"/>
      <c r="C250" s="12"/>
      <c r="D250" s="12"/>
      <c r="E250" s="12"/>
      <c r="F250" s="71"/>
      <c r="G250" s="71"/>
      <c r="H250" s="71"/>
      <c r="I250" s="214"/>
    </row>
    <row r="251" spans="1:9" ht="12.75">
      <c r="A251" s="12"/>
      <c r="B251" s="12"/>
      <c r="C251" s="12"/>
      <c r="D251" s="12"/>
      <c r="E251" s="12"/>
      <c r="F251" s="71"/>
      <c r="G251" s="246"/>
      <c r="H251" s="246"/>
      <c r="I251" s="247"/>
    </row>
    <row r="252" spans="1:9" ht="12.75">
      <c r="A252" s="12"/>
      <c r="B252" s="12"/>
      <c r="C252" s="12"/>
      <c r="D252" s="12"/>
      <c r="E252" s="12"/>
      <c r="F252" s="71"/>
      <c r="G252" s="71"/>
      <c r="H252" s="71"/>
      <c r="I252" s="247"/>
    </row>
    <row r="253" spans="1:9" ht="12.75">
      <c r="A253" s="12"/>
      <c r="B253" s="12"/>
      <c r="C253" s="12"/>
      <c r="D253" s="12"/>
      <c r="E253" s="12"/>
      <c r="F253" s="71"/>
      <c r="G253" s="71"/>
      <c r="H253" s="71"/>
      <c r="I253" s="247"/>
    </row>
    <row r="254" spans="1:9" ht="12.75">
      <c r="A254" s="12"/>
      <c r="B254" s="12"/>
      <c r="C254" s="12"/>
      <c r="D254" s="12"/>
      <c r="E254" s="12"/>
      <c r="F254" s="71"/>
      <c r="G254" s="71"/>
      <c r="H254" s="71"/>
      <c r="I254" s="247"/>
    </row>
    <row r="255" spans="1:9" ht="12.75">
      <c r="A255" s="12"/>
      <c r="B255" s="12"/>
      <c r="C255" s="12"/>
      <c r="D255" s="12"/>
      <c r="E255" s="12"/>
      <c r="F255" s="71"/>
      <c r="G255" s="71"/>
      <c r="H255" s="71"/>
      <c r="I255" s="247"/>
    </row>
    <row r="256" spans="1:9" ht="12.75">
      <c r="A256" s="12"/>
      <c r="B256" s="12"/>
      <c r="C256" s="12"/>
      <c r="D256" s="12"/>
      <c r="E256" s="12"/>
      <c r="F256" s="248"/>
      <c r="G256" s="248"/>
      <c r="H256" s="248"/>
      <c r="I256" s="216"/>
    </row>
    <row r="257" spans="1:9" ht="12.75" hidden="1">
      <c r="A257" s="12"/>
      <c r="B257" s="12"/>
      <c r="C257" s="12"/>
      <c r="D257" s="12"/>
      <c r="E257" s="12"/>
      <c r="F257" s="12"/>
      <c r="G257" s="70"/>
      <c r="H257" s="71"/>
      <c r="I257" s="12"/>
    </row>
    <row r="258" spans="1:9" ht="12.75">
      <c r="A258" s="12"/>
      <c r="B258" s="12"/>
      <c r="C258" s="70"/>
      <c r="D258" s="70"/>
      <c r="E258" s="12"/>
      <c r="F258" s="12"/>
      <c r="G258" s="12"/>
      <c r="H258" s="71"/>
      <c r="I258" s="12"/>
    </row>
    <row r="259" spans="1:9" ht="12.75">
      <c r="A259" s="12"/>
      <c r="B259" s="12"/>
      <c r="C259" s="12"/>
      <c r="D259" s="12"/>
      <c r="E259" s="12"/>
      <c r="F259" s="12"/>
      <c r="G259" s="12"/>
      <c r="H259" s="71"/>
      <c r="I259" s="12"/>
    </row>
    <row r="260" spans="1:9" ht="12.75">
      <c r="A260" s="12"/>
      <c r="B260" s="12"/>
      <c r="C260" s="70"/>
      <c r="D260" s="12"/>
      <c r="E260" s="12"/>
      <c r="F260" s="12"/>
      <c r="G260" s="12"/>
      <c r="H260" s="71"/>
      <c r="I260" s="12"/>
    </row>
    <row r="261" spans="1:9" ht="12.75">
      <c r="A261" s="12"/>
      <c r="B261" s="12"/>
      <c r="C261" s="12"/>
      <c r="D261" s="12"/>
      <c r="E261" s="12"/>
      <c r="F261" s="12"/>
      <c r="G261" s="71"/>
      <c r="H261" s="71"/>
      <c r="I261" s="247"/>
    </row>
    <row r="262" spans="1:9" ht="12.75">
      <c r="A262" s="12"/>
      <c r="B262" s="12"/>
      <c r="C262" s="12"/>
      <c r="D262" s="12"/>
      <c r="E262" s="12"/>
      <c r="F262" s="12"/>
      <c r="G262" s="71"/>
      <c r="H262" s="71"/>
      <c r="I262" s="247"/>
    </row>
    <row r="263" spans="1:9" ht="12.75">
      <c r="A263" s="12"/>
      <c r="B263" s="12"/>
      <c r="C263" s="12"/>
      <c r="D263" s="12"/>
      <c r="E263" s="12"/>
      <c r="F263" s="71"/>
      <c r="G263" s="246"/>
      <c r="H263" s="246"/>
      <c r="I263" s="214"/>
    </row>
    <row r="264" spans="1:9" ht="12.75">
      <c r="A264" s="12"/>
      <c r="B264" s="12"/>
      <c r="C264" s="12"/>
      <c r="D264" s="12"/>
      <c r="E264" s="12"/>
      <c r="F264" s="71"/>
      <c r="G264" s="256"/>
      <c r="H264" s="71"/>
      <c r="I264" s="214"/>
    </row>
    <row r="265" spans="1:9" ht="12.75">
      <c r="A265" s="12"/>
      <c r="B265" s="12"/>
      <c r="C265" s="12"/>
      <c r="D265" s="12"/>
      <c r="E265" s="12"/>
      <c r="F265" s="71"/>
      <c r="G265" s="249"/>
      <c r="H265" s="249"/>
      <c r="I265" s="216"/>
    </row>
    <row r="266" spans="1:9" ht="12.75" hidden="1">
      <c r="A266" s="12"/>
      <c r="B266" s="12"/>
      <c r="C266" s="12"/>
      <c r="D266" s="12"/>
      <c r="E266" s="12"/>
      <c r="F266" s="12"/>
      <c r="G266" s="12"/>
      <c r="H266" s="71"/>
      <c r="I266" s="12"/>
    </row>
    <row r="267" spans="1:9" ht="12.75">
      <c r="A267" s="12"/>
      <c r="B267" s="12"/>
      <c r="C267" s="70"/>
      <c r="D267" s="70"/>
      <c r="E267" s="12"/>
      <c r="F267" s="12"/>
      <c r="G267" s="12"/>
      <c r="H267" s="71"/>
      <c r="I267" s="12"/>
    </row>
    <row r="268" spans="1:9" ht="12.75">
      <c r="A268" s="12"/>
      <c r="B268" s="12"/>
      <c r="C268" s="12"/>
      <c r="D268" s="12"/>
      <c r="E268" s="12"/>
      <c r="F268" s="12"/>
      <c r="G268" s="12"/>
      <c r="H268" s="71"/>
      <c r="I268" s="12"/>
    </row>
    <row r="269" spans="1:9" ht="12.75">
      <c r="A269" s="12"/>
      <c r="B269" s="12"/>
      <c r="C269" s="12"/>
      <c r="D269" s="12"/>
      <c r="E269" s="12"/>
      <c r="F269" s="12"/>
      <c r="G269" s="70"/>
      <c r="H269" s="249"/>
      <c r="I269" s="247"/>
    </row>
    <row r="270" spans="1:9" ht="12.75" hidden="1">
      <c r="A270" s="12"/>
      <c r="B270" s="12"/>
      <c r="C270" s="12"/>
      <c r="D270" s="12"/>
      <c r="E270" s="12"/>
      <c r="F270" s="12"/>
      <c r="G270" s="12"/>
      <c r="H270" s="71"/>
      <c r="I270" s="12"/>
    </row>
    <row r="271" spans="1:9" ht="12.75">
      <c r="A271" s="12"/>
      <c r="B271" s="12"/>
      <c r="C271" s="12"/>
      <c r="D271" s="70"/>
      <c r="E271" s="12"/>
      <c r="F271" s="12"/>
      <c r="G271" s="12"/>
      <c r="H271" s="71"/>
      <c r="I271" s="12"/>
    </row>
    <row r="272" spans="1:9" ht="12.75">
      <c r="A272" s="12"/>
      <c r="B272" s="12"/>
      <c r="C272" s="12"/>
      <c r="D272" s="12"/>
      <c r="E272" s="12"/>
      <c r="F272" s="12"/>
      <c r="G272" s="12"/>
      <c r="H272" s="71"/>
      <c r="I272" s="12"/>
    </row>
    <row r="273" spans="1:9" ht="12.75">
      <c r="A273" s="12"/>
      <c r="B273" s="12"/>
      <c r="C273" s="12"/>
      <c r="D273" s="12"/>
      <c r="E273" s="12"/>
      <c r="F273" s="12"/>
      <c r="G273" s="256"/>
      <c r="H273" s="256"/>
      <c r="I273" s="214"/>
    </row>
    <row r="274" spans="1:9" ht="12.75">
      <c r="A274" s="12"/>
      <c r="B274" s="12"/>
      <c r="C274" s="12"/>
      <c r="D274" s="12"/>
      <c r="E274" s="12"/>
      <c r="F274" s="12"/>
      <c r="G274" s="256"/>
      <c r="H274" s="256"/>
      <c r="I274" s="214"/>
    </row>
    <row r="275" spans="1:9" ht="12.75">
      <c r="A275" s="12"/>
      <c r="B275" s="12"/>
      <c r="C275" s="12"/>
      <c r="D275" s="12"/>
      <c r="E275" s="12"/>
      <c r="F275" s="12"/>
      <c r="G275" s="256"/>
      <c r="H275" s="256"/>
      <c r="I275" s="214"/>
    </row>
    <row r="276" spans="1:9" ht="12.75">
      <c r="A276" s="12"/>
      <c r="B276" s="12"/>
      <c r="C276" s="12"/>
      <c r="D276" s="12"/>
      <c r="E276" s="12"/>
      <c r="F276" s="12"/>
      <c r="G276" s="71"/>
      <c r="H276" s="71"/>
      <c r="I276" s="214"/>
    </row>
    <row r="277" spans="1:9" ht="12.75">
      <c r="A277" s="12"/>
      <c r="B277" s="12"/>
      <c r="C277" s="12"/>
      <c r="D277" s="12"/>
      <c r="E277" s="12"/>
      <c r="F277" s="12"/>
      <c r="G277" s="71"/>
      <c r="H277" s="71"/>
      <c r="I277" s="214"/>
    </row>
    <row r="278" spans="1:9" ht="12.75">
      <c r="A278" s="12"/>
      <c r="B278" s="12"/>
      <c r="C278" s="12"/>
      <c r="D278" s="12"/>
      <c r="E278" s="12"/>
      <c r="F278" s="71"/>
      <c r="G278" s="249"/>
      <c r="H278" s="249"/>
      <c r="I278" s="216"/>
    </row>
    <row r="279" spans="1:9" ht="12.75" hidden="1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 ht="12.75">
      <c r="A280" s="12"/>
      <c r="B280" s="12"/>
      <c r="C280" s="12"/>
      <c r="D280" s="70"/>
      <c r="E280" s="12"/>
      <c r="F280" s="12"/>
      <c r="G280" s="12"/>
      <c r="H280" s="12"/>
      <c r="I280" s="12"/>
    </row>
    <row r="281" spans="1:9" ht="12.75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 ht="12.75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 ht="12.75">
      <c r="A283" s="12"/>
      <c r="B283" s="12"/>
      <c r="C283" s="12"/>
      <c r="D283" s="12"/>
      <c r="E283" s="12"/>
      <c r="F283" s="12"/>
      <c r="G283" s="12"/>
      <c r="H283" s="12"/>
      <c r="I283" s="214"/>
    </row>
    <row r="284" spans="1:9" ht="12.75">
      <c r="A284" s="12"/>
      <c r="B284" s="12"/>
      <c r="C284" s="12"/>
      <c r="D284" s="12"/>
      <c r="E284" s="12"/>
      <c r="F284" s="12"/>
      <c r="G284" s="12"/>
      <c r="H284" s="12"/>
      <c r="I284" s="214"/>
    </row>
    <row r="285" spans="1:9" ht="12.75">
      <c r="A285" s="12"/>
      <c r="B285" s="12"/>
      <c r="C285" s="12"/>
      <c r="D285" s="12"/>
      <c r="E285" s="12"/>
      <c r="F285" s="12"/>
      <c r="G285" s="12"/>
      <c r="H285" s="12"/>
      <c r="I285" s="214"/>
    </row>
    <row r="286" spans="1:9" ht="12.75">
      <c r="A286" s="12"/>
      <c r="B286" s="12"/>
      <c r="C286" s="12"/>
      <c r="D286" s="12"/>
      <c r="E286" s="12"/>
      <c r="F286" s="71"/>
      <c r="G286" s="70"/>
      <c r="H286" s="70"/>
      <c r="I286" s="12"/>
    </row>
    <row r="287" spans="1:9" ht="12.75" hidden="1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 ht="12.75">
      <c r="A288" s="12"/>
      <c r="B288" s="12"/>
      <c r="C288" s="12"/>
      <c r="D288" s="70"/>
      <c r="E288" s="12"/>
      <c r="F288" s="12"/>
      <c r="G288" s="12"/>
      <c r="H288" s="12"/>
      <c r="I288" s="12"/>
    </row>
    <row r="289" spans="1:9" ht="12.75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 ht="12.75">
      <c r="A290" s="12"/>
      <c r="B290" s="12"/>
      <c r="C290" s="12"/>
      <c r="D290" s="12"/>
      <c r="E290" s="12"/>
      <c r="F290" s="12"/>
      <c r="G290" s="12"/>
      <c r="H290" s="252"/>
      <c r="I290" s="214"/>
    </row>
    <row r="291" spans="1:9" ht="12.75">
      <c r="A291" s="12"/>
      <c r="B291" s="12"/>
      <c r="C291" s="12"/>
      <c r="D291" s="12"/>
      <c r="E291" s="12"/>
      <c r="F291" s="12"/>
      <c r="G291" s="12"/>
      <c r="H291" s="252"/>
      <c r="I291" s="214"/>
    </row>
    <row r="292" spans="1:9" ht="12.75">
      <c r="A292" s="12"/>
      <c r="B292" s="12"/>
      <c r="C292" s="70"/>
      <c r="D292" s="12"/>
      <c r="E292" s="12"/>
      <c r="F292" s="12"/>
      <c r="G292" s="12"/>
      <c r="H292" s="12"/>
      <c r="I292" s="214"/>
    </row>
    <row r="293" spans="1:9" ht="12.75">
      <c r="A293" s="12"/>
      <c r="B293" s="12"/>
      <c r="C293" s="12"/>
      <c r="D293" s="12"/>
      <c r="E293" s="12"/>
      <c r="F293" s="12"/>
      <c r="G293" s="12"/>
      <c r="H293" s="12"/>
      <c r="I293" s="214"/>
    </row>
    <row r="294" spans="1:9" ht="12.75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 ht="12.75">
      <c r="A295" s="12"/>
      <c r="B295" s="12"/>
      <c r="C295" s="12"/>
      <c r="D295" s="12"/>
      <c r="E295" s="12"/>
      <c r="F295" s="71"/>
      <c r="G295" s="70"/>
      <c r="H295" s="70"/>
      <c r="I295" s="12"/>
    </row>
    <row r="296" spans="1:9" ht="12.75">
      <c r="A296" s="12"/>
      <c r="B296" s="81"/>
      <c r="C296" s="81"/>
      <c r="D296" s="81"/>
      <c r="E296" s="12"/>
      <c r="F296" s="70"/>
      <c r="G296" s="12"/>
      <c r="H296" s="12"/>
      <c r="I296" s="12"/>
    </row>
    <row r="297" spans="1:9" ht="12.75" hidden="1">
      <c r="A297" s="12"/>
      <c r="B297" s="81"/>
      <c r="C297" s="81"/>
      <c r="D297" s="81"/>
      <c r="E297" s="82"/>
      <c r="F297" s="70"/>
      <c r="G297" s="250"/>
      <c r="H297" s="250"/>
      <c r="I297" s="12"/>
    </row>
    <row r="298" spans="1:9" ht="12.75" hidden="1">
      <c r="A298" s="12"/>
      <c r="B298" s="81"/>
      <c r="C298" s="81"/>
      <c r="D298" s="81"/>
      <c r="E298" s="82"/>
      <c r="F298" s="70"/>
      <c r="G298" s="250"/>
      <c r="H298" s="250"/>
      <c r="I298" s="12"/>
    </row>
    <row r="299" spans="1:9" ht="12.75" hidden="1">
      <c r="A299" s="12"/>
      <c r="B299" s="81"/>
      <c r="C299" s="81"/>
      <c r="D299" s="81"/>
      <c r="E299" s="12"/>
      <c r="F299" s="70"/>
      <c r="G299" s="250"/>
      <c r="H299" s="12"/>
      <c r="I299" s="12"/>
    </row>
    <row r="300" spans="1:9" ht="12.75">
      <c r="A300" s="12"/>
      <c r="B300" s="81"/>
      <c r="C300" s="81"/>
      <c r="D300" s="81"/>
      <c r="E300" s="12"/>
      <c r="F300" s="70"/>
      <c r="G300" s="250"/>
      <c r="H300" s="12"/>
      <c r="I300" s="12"/>
    </row>
    <row r="301" spans="1:9" ht="12.75">
      <c r="A301" s="12"/>
      <c r="B301" s="12"/>
      <c r="C301" s="12"/>
      <c r="D301" s="12"/>
      <c r="E301" s="12"/>
      <c r="F301" s="70"/>
      <c r="G301" s="12"/>
      <c r="H301" s="12"/>
      <c r="I301" s="12"/>
    </row>
    <row r="302" spans="1:9" ht="12.75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 ht="12.75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 ht="12.75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 ht="12.75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 ht="12.75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 ht="12.75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 ht="12.75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 ht="12.75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 ht="12.75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 ht="12.75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 ht="12.75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 ht="12.75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 ht="12.75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 ht="12.75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 ht="12.75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 ht="12.75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 ht="12.75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 ht="12.75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 ht="12.75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 ht="12.75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 ht="12.75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 ht="12.75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 ht="12.75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 ht="12.75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 ht="12.75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 ht="12.75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 ht="12.75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 ht="12.75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 ht="12.75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 ht="12.75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 ht="12.75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 ht="12.75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 ht="12.75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 ht="12.75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 ht="12.75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 ht="12.75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 ht="12.75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 ht="12.75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 ht="12.75">
      <c r="A340" s="12"/>
      <c r="B340" s="12"/>
      <c r="C340" s="12"/>
      <c r="D340" s="12"/>
      <c r="E340" s="12"/>
      <c r="F340" s="12"/>
      <c r="G340" s="12"/>
      <c r="H340" s="12"/>
      <c r="I340" s="12"/>
    </row>
    <row r="341" spans="1:9" ht="12.75">
      <c r="A341" s="12"/>
      <c r="B341" s="12"/>
      <c r="C341" s="12"/>
      <c r="D341" s="12"/>
      <c r="E341" s="12"/>
      <c r="F341" s="12"/>
      <c r="G341" s="12"/>
      <c r="H341" s="12"/>
      <c r="I341" s="12"/>
    </row>
    <row r="342" spans="1:9" ht="12.75">
      <c r="A342" s="12"/>
      <c r="B342" s="12"/>
      <c r="C342" s="12"/>
      <c r="D342" s="12"/>
      <c r="E342" s="12"/>
      <c r="F342" s="12"/>
      <c r="G342" s="12"/>
      <c r="H342" s="12"/>
      <c r="I342" s="12"/>
    </row>
    <row r="343" spans="1:9" ht="12.75">
      <c r="A343" s="12"/>
      <c r="B343" s="12"/>
      <c r="C343" s="12"/>
      <c r="D343" s="12"/>
      <c r="E343" s="12"/>
      <c r="F343" s="12"/>
      <c r="G343" s="12"/>
      <c r="H343" s="12"/>
      <c r="I343" s="12"/>
    </row>
    <row r="344" spans="1:9" ht="12.75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 ht="12.75">
      <c r="A345" s="12"/>
      <c r="B345" s="12"/>
      <c r="C345" s="12"/>
      <c r="D345" s="12"/>
      <c r="E345" s="12"/>
      <c r="F345" s="12"/>
      <c r="G345" s="12"/>
      <c r="H345" s="12"/>
      <c r="I345" s="12"/>
    </row>
    <row r="346" spans="1:9" ht="12.75">
      <c r="A346" s="12"/>
      <c r="B346" s="12"/>
      <c r="C346" s="12"/>
      <c r="D346" s="12"/>
      <c r="E346" s="12"/>
      <c r="F346" s="12"/>
      <c r="G346" s="12"/>
      <c r="H346" s="12"/>
      <c r="I346" s="12"/>
    </row>
    <row r="347" spans="1:9" ht="12.75">
      <c r="A347" s="12"/>
      <c r="B347" s="12"/>
      <c r="C347" s="12"/>
      <c r="D347" s="12"/>
      <c r="E347" s="12"/>
      <c r="F347" s="12"/>
      <c r="G347" s="12"/>
      <c r="H347" s="12"/>
      <c r="I347" s="12"/>
    </row>
    <row r="348" spans="1:9" ht="12.75">
      <c r="A348" s="12"/>
      <c r="B348" s="12"/>
      <c r="C348" s="12"/>
      <c r="D348" s="12"/>
      <c r="E348" s="12"/>
      <c r="F348" s="12"/>
      <c r="G348" s="12"/>
      <c r="H348" s="12"/>
      <c r="I348" s="12"/>
    </row>
    <row r="349" spans="1:9" ht="12.75">
      <c r="A349" s="12"/>
      <c r="B349" s="12"/>
      <c r="C349" s="12"/>
      <c r="D349" s="12"/>
      <c r="E349" s="12"/>
      <c r="F349" s="12"/>
      <c r="G349" s="12"/>
      <c r="H349" s="12"/>
      <c r="I349" s="12"/>
    </row>
    <row r="350" spans="1:9" ht="12.75">
      <c r="A350" s="12"/>
      <c r="B350" s="12"/>
      <c r="C350" s="12"/>
      <c r="D350" s="12"/>
      <c r="E350" s="12"/>
      <c r="F350" s="12"/>
      <c r="G350" s="12"/>
      <c r="H350" s="12"/>
      <c r="I350" s="12"/>
    </row>
    <row r="351" spans="1:9" ht="12.75">
      <c r="A351" s="12"/>
      <c r="B351" s="12"/>
      <c r="C351" s="12"/>
      <c r="D351" s="12"/>
      <c r="E351" s="12"/>
      <c r="F351" s="12"/>
      <c r="G351" s="12"/>
      <c r="H351" s="12"/>
      <c r="I351" s="12"/>
    </row>
    <row r="352" spans="1:9" ht="12.75">
      <c r="A352" s="12"/>
      <c r="B352" s="12"/>
      <c r="C352" s="12"/>
      <c r="D352" s="12"/>
      <c r="E352" s="12"/>
      <c r="F352" s="12"/>
      <c r="G352" s="12"/>
      <c r="H352" s="12"/>
      <c r="I352" s="12"/>
    </row>
    <row r="353" spans="1:9" ht="12.75">
      <c r="A353" s="12"/>
      <c r="B353" s="12"/>
      <c r="C353" s="12"/>
      <c r="D353" s="12"/>
      <c r="E353" s="12"/>
      <c r="F353" s="12"/>
      <c r="G353" s="12"/>
      <c r="H353" s="12"/>
      <c r="I353" s="12"/>
    </row>
    <row r="354" spans="1:9" ht="12.75">
      <c r="A354" s="12"/>
      <c r="B354" s="12"/>
      <c r="C354" s="12"/>
      <c r="D354" s="12"/>
      <c r="E354" s="12"/>
      <c r="F354" s="12"/>
      <c r="G354" s="12"/>
      <c r="H354" s="12"/>
      <c r="I354" s="12"/>
    </row>
    <row r="355" spans="1:9" ht="12.75">
      <c r="A355" s="12"/>
      <c r="B355" s="12"/>
      <c r="C355" s="12"/>
      <c r="D355" s="12"/>
      <c r="E355" s="12"/>
      <c r="F355" s="12"/>
      <c r="G355" s="12"/>
      <c r="H355" s="12"/>
      <c r="I355" s="12"/>
    </row>
    <row r="356" spans="1:9" ht="12.75">
      <c r="A356" s="12"/>
      <c r="B356" s="12"/>
      <c r="C356" s="12"/>
      <c r="D356" s="12"/>
      <c r="E356" s="12"/>
      <c r="F356" s="12"/>
      <c r="G356" s="12"/>
      <c r="H356" s="12"/>
      <c r="I356" s="12"/>
    </row>
    <row r="357" spans="1:9" ht="12.75">
      <c r="A357" s="12"/>
      <c r="B357" s="12"/>
      <c r="C357" s="12"/>
      <c r="D357" s="12"/>
      <c r="E357" s="12"/>
      <c r="F357" s="12"/>
      <c r="G357" s="12"/>
      <c r="H357" s="12"/>
      <c r="I357" s="12"/>
    </row>
    <row r="358" spans="1:9" ht="12.75">
      <c r="A358" s="12"/>
      <c r="B358" s="12"/>
      <c r="C358" s="12"/>
      <c r="D358" s="12"/>
      <c r="E358" s="12"/>
      <c r="F358" s="12"/>
      <c r="G358" s="12"/>
      <c r="H358" s="12"/>
      <c r="I358" s="12"/>
    </row>
    <row r="359" spans="1:9" ht="12.75">
      <c r="A359" s="12"/>
      <c r="B359" s="12"/>
      <c r="C359" s="12"/>
      <c r="D359" s="12"/>
      <c r="E359" s="12"/>
      <c r="F359" s="12"/>
      <c r="G359" s="12"/>
      <c r="H359" s="12"/>
      <c r="I359" s="12"/>
    </row>
    <row r="360" spans="1:9" ht="12.75">
      <c r="A360" s="12"/>
      <c r="B360" s="12"/>
      <c r="C360" s="12"/>
      <c r="D360" s="12"/>
      <c r="E360" s="12"/>
      <c r="F360" s="12"/>
      <c r="G360" s="12"/>
      <c r="H360" s="12"/>
      <c r="I360" s="12"/>
    </row>
    <row r="361" spans="1:9" ht="12.75">
      <c r="A361" s="12"/>
      <c r="B361" s="12"/>
      <c r="C361" s="12"/>
      <c r="D361" s="12"/>
      <c r="E361" s="12"/>
      <c r="F361" s="12"/>
      <c r="G361" s="12"/>
      <c r="H361" s="12"/>
      <c r="I361" s="12"/>
    </row>
    <row r="362" spans="1:9" ht="12.75">
      <c r="A362" s="12"/>
      <c r="B362" s="12"/>
      <c r="C362" s="12"/>
      <c r="D362" s="12"/>
      <c r="E362" s="12"/>
      <c r="F362" s="12"/>
      <c r="G362" s="12"/>
      <c r="H362" s="12"/>
      <c r="I362" s="12"/>
    </row>
    <row r="363" spans="1:9" ht="12.75">
      <c r="A363" s="12"/>
      <c r="B363" s="12"/>
      <c r="C363" s="12"/>
      <c r="D363" s="12"/>
      <c r="E363" s="12"/>
      <c r="F363" s="12"/>
      <c r="G363" s="12"/>
      <c r="H363" s="12"/>
      <c r="I363" s="12"/>
    </row>
    <row r="364" spans="1:9" ht="12.75">
      <c r="A364" s="12"/>
      <c r="B364" s="12"/>
      <c r="C364" s="12"/>
      <c r="D364" s="12"/>
      <c r="E364" s="12"/>
      <c r="F364" s="12"/>
      <c r="G364" s="12"/>
      <c r="H364" s="12"/>
      <c r="I364" s="12"/>
    </row>
    <row r="365" spans="1:9" ht="12.75">
      <c r="A365" s="12"/>
      <c r="B365" s="12"/>
      <c r="C365" s="12"/>
      <c r="D365" s="12"/>
      <c r="E365" s="12"/>
      <c r="F365" s="12"/>
      <c r="G365" s="12"/>
      <c r="H365" s="12"/>
      <c r="I365" s="12"/>
    </row>
    <row r="366" spans="1:9" ht="12.75">
      <c r="A366" s="12"/>
      <c r="B366" s="12"/>
      <c r="C366" s="12"/>
      <c r="D366" s="12"/>
      <c r="E366" s="12"/>
      <c r="F366" s="12"/>
      <c r="G366" s="12"/>
      <c r="H366" s="12"/>
      <c r="I366" s="12"/>
    </row>
    <row r="367" spans="1:9" ht="12.75">
      <c r="A367" s="12"/>
      <c r="B367" s="12"/>
      <c r="C367" s="12"/>
      <c r="D367" s="12"/>
      <c r="E367" s="12"/>
      <c r="F367" s="12"/>
      <c r="G367" s="12"/>
      <c r="H367" s="12"/>
      <c r="I367" s="12"/>
    </row>
    <row r="368" spans="1:9" ht="12.75">
      <c r="A368" s="12"/>
      <c r="B368" s="12"/>
      <c r="C368" s="12"/>
      <c r="D368" s="12"/>
      <c r="E368" s="12"/>
      <c r="F368" s="12"/>
      <c r="G368" s="12"/>
      <c r="H368" s="12"/>
      <c r="I368" s="12"/>
    </row>
    <row r="369" spans="1:9" ht="12.75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 ht="12.75">
      <c r="A370" s="12"/>
      <c r="B370" s="12"/>
      <c r="C370" s="12"/>
      <c r="D370" s="12"/>
      <c r="E370" s="12"/>
      <c r="F370" s="12"/>
      <c r="G370" s="12"/>
      <c r="H370" s="12"/>
      <c r="I370" s="12"/>
    </row>
    <row r="371" spans="1:9" ht="12.75">
      <c r="A371" s="12"/>
      <c r="B371" s="12"/>
      <c r="C371" s="12"/>
      <c r="D371" s="12"/>
      <c r="E371" s="12"/>
      <c r="F371" s="12"/>
      <c r="G371" s="12"/>
      <c r="H371" s="12"/>
      <c r="I371" s="12"/>
    </row>
    <row r="372" spans="1:9" ht="12.75">
      <c r="A372" s="12"/>
      <c r="B372" s="12"/>
      <c r="C372" s="12"/>
      <c r="D372" s="12"/>
      <c r="E372" s="12"/>
      <c r="F372" s="12"/>
      <c r="G372" s="12"/>
      <c r="H372" s="12"/>
      <c r="I372" s="12"/>
    </row>
    <row r="373" spans="1:9" ht="12.75">
      <c r="A373" s="12"/>
      <c r="B373" s="12"/>
      <c r="C373" s="12"/>
      <c r="D373" s="12"/>
      <c r="E373" s="12"/>
      <c r="F373" s="12"/>
      <c r="G373" s="12"/>
      <c r="H373" s="12"/>
      <c r="I373" s="12"/>
    </row>
    <row r="374" spans="1:9" ht="12.75">
      <c r="A374" s="12"/>
      <c r="B374" s="12"/>
      <c r="C374" s="12"/>
      <c r="D374" s="12"/>
      <c r="E374" s="12"/>
      <c r="F374" s="12"/>
      <c r="G374" s="12"/>
      <c r="H374" s="12"/>
      <c r="I374" s="12"/>
    </row>
    <row r="375" spans="1:9" ht="12.75">
      <c r="A375" s="12"/>
      <c r="B375" s="12"/>
      <c r="C375" s="12"/>
      <c r="D375" s="12"/>
      <c r="E375" s="12"/>
      <c r="F375" s="12"/>
      <c r="G375" s="12"/>
      <c r="H375" s="12"/>
      <c r="I375" s="12"/>
    </row>
    <row r="376" spans="1:9" ht="12.75">
      <c r="A376" s="12"/>
      <c r="B376" s="12"/>
      <c r="C376" s="12"/>
      <c r="D376" s="12"/>
      <c r="E376" s="12"/>
      <c r="F376" s="12"/>
      <c r="G376" s="12"/>
      <c r="H376" s="12"/>
      <c r="I376" s="12"/>
    </row>
    <row r="377" spans="1:9" ht="12.75">
      <c r="A377" s="12"/>
      <c r="B377" s="12"/>
      <c r="C377" s="12"/>
      <c r="D377" s="12"/>
      <c r="E377" s="12"/>
      <c r="F377" s="12"/>
      <c r="G377" s="12"/>
      <c r="H377" s="12"/>
      <c r="I377" s="12"/>
    </row>
    <row r="378" spans="1:9" ht="12.75">
      <c r="A378" s="12"/>
      <c r="B378" s="12"/>
      <c r="C378" s="12"/>
      <c r="D378" s="12"/>
      <c r="E378" s="12"/>
      <c r="F378" s="12"/>
      <c r="G378" s="12"/>
      <c r="H378" s="12"/>
      <c r="I378" s="12"/>
    </row>
    <row r="379" spans="1:9" ht="12.75">
      <c r="A379" s="12"/>
      <c r="B379" s="12"/>
      <c r="C379" s="12"/>
      <c r="D379" s="12"/>
      <c r="E379" s="12"/>
      <c r="F379" s="12"/>
      <c r="G379" s="12"/>
      <c r="H379" s="12"/>
      <c r="I379" s="12"/>
    </row>
    <row r="380" spans="1:9" ht="12.75">
      <c r="A380" s="12"/>
      <c r="B380" s="12"/>
      <c r="C380" s="12"/>
      <c r="D380" s="12"/>
      <c r="E380" s="12"/>
      <c r="F380" s="12"/>
      <c r="G380" s="12"/>
      <c r="H380" s="12"/>
      <c r="I380" s="12"/>
    </row>
    <row r="381" spans="1:9" ht="12.75">
      <c r="A381" s="12"/>
      <c r="B381" s="12"/>
      <c r="C381" s="12"/>
      <c r="D381" s="12"/>
      <c r="E381" s="12"/>
      <c r="F381" s="12"/>
      <c r="G381" s="12"/>
      <c r="H381" s="12"/>
      <c r="I381" s="12"/>
    </row>
    <row r="382" spans="1:9" ht="12.75">
      <c r="A382" s="12"/>
      <c r="B382" s="12"/>
      <c r="C382" s="12"/>
      <c r="D382" s="12"/>
      <c r="E382" s="12"/>
      <c r="F382" s="12"/>
      <c r="G382" s="12"/>
      <c r="H382" s="12"/>
      <c r="I382" s="12"/>
    </row>
    <row r="383" spans="1:9" ht="12.75">
      <c r="A383" s="12"/>
      <c r="B383" s="12"/>
      <c r="C383" s="12"/>
      <c r="D383" s="12"/>
      <c r="E383" s="12"/>
      <c r="F383" s="12"/>
      <c r="G383" s="12"/>
      <c r="H383" s="12"/>
      <c r="I383" s="12"/>
    </row>
    <row r="384" spans="1:9" ht="12.75">
      <c r="A384" s="12"/>
      <c r="B384" s="12"/>
      <c r="C384" s="12"/>
      <c r="D384" s="12"/>
      <c r="E384" s="12"/>
      <c r="F384" s="12"/>
      <c r="G384" s="12"/>
      <c r="H384" s="12"/>
      <c r="I384" s="12"/>
    </row>
  </sheetData>
  <sheetProtection/>
  <printOptions/>
  <pageMargins left="1.01" right="0.47" top="0.66" bottom="0.43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3:K1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0.421875" style="0" customWidth="1"/>
    <col min="3" max="3" width="10.28125" style="0" customWidth="1"/>
    <col min="4" max="4" width="31.7109375" style="0" customWidth="1"/>
    <col min="5" max="5" width="13.00390625" style="0" customWidth="1"/>
    <col min="6" max="6" width="13.8515625" style="0" customWidth="1"/>
    <col min="7" max="7" width="10.28125" style="0" customWidth="1"/>
  </cols>
  <sheetData>
    <row r="3" spans="1:5" ht="12.75">
      <c r="A3" s="595" t="s">
        <v>242</v>
      </c>
      <c r="B3" s="595"/>
      <c r="C3" s="595"/>
      <c r="D3" s="595"/>
      <c r="E3" s="595"/>
    </row>
    <row r="4" spans="1:5" ht="12.75">
      <c r="A4" s="595" t="s">
        <v>243</v>
      </c>
      <c r="B4" s="595"/>
      <c r="C4" s="595"/>
      <c r="D4" s="595"/>
      <c r="E4" s="595"/>
    </row>
    <row r="5" spans="5:7" ht="12.75">
      <c r="E5" s="500" t="s">
        <v>248</v>
      </c>
      <c r="F5" s="15"/>
      <c r="G5" s="15"/>
    </row>
    <row r="6" ht="16.5" customHeight="1" thickBot="1"/>
    <row r="7" spans="1:11" ht="13.5" thickBot="1">
      <c r="A7" s="319" t="s">
        <v>244</v>
      </c>
      <c r="B7" s="319" t="s">
        <v>250</v>
      </c>
      <c r="C7" s="596" t="s">
        <v>254</v>
      </c>
      <c r="D7" s="597"/>
      <c r="E7" s="356" t="s">
        <v>26</v>
      </c>
      <c r="F7" s="71"/>
      <c r="G7" s="71"/>
      <c r="H7" s="71"/>
      <c r="I7" s="12"/>
      <c r="J7" s="12"/>
      <c r="K7" s="12"/>
    </row>
    <row r="8" spans="1:11" ht="12.75">
      <c r="A8" s="320"/>
      <c r="B8" s="320" t="s">
        <v>251</v>
      </c>
      <c r="C8" s="320"/>
      <c r="D8" s="321"/>
      <c r="E8" s="357"/>
      <c r="F8" s="71"/>
      <c r="G8" s="71"/>
      <c r="H8" s="71"/>
      <c r="I8" s="12"/>
      <c r="J8" s="12"/>
      <c r="K8" s="12"/>
    </row>
    <row r="9" spans="1:11" ht="13.5" thickBot="1">
      <c r="A9" s="322"/>
      <c r="B9" s="322" t="s">
        <v>252</v>
      </c>
      <c r="C9" s="322" t="s">
        <v>252</v>
      </c>
      <c r="D9" s="323" t="s">
        <v>255</v>
      </c>
      <c r="E9" s="354"/>
      <c r="F9" s="71"/>
      <c r="G9" s="71"/>
      <c r="H9" s="71"/>
      <c r="I9" s="12"/>
      <c r="J9" s="12"/>
      <c r="K9" s="12"/>
    </row>
    <row r="10" spans="1:11" ht="13.5" thickBot="1">
      <c r="A10" s="324">
        <v>1</v>
      </c>
      <c r="B10" s="324">
        <v>2</v>
      </c>
      <c r="C10" s="243">
        <v>3</v>
      </c>
      <c r="D10" s="325">
        <v>4</v>
      </c>
      <c r="E10" s="358">
        <v>5</v>
      </c>
      <c r="F10" s="71"/>
      <c r="G10" s="71"/>
      <c r="H10" s="71"/>
      <c r="I10" s="12"/>
      <c r="J10" s="12"/>
      <c r="K10" s="12"/>
    </row>
    <row r="11" spans="1:11" ht="15.75" thickBot="1">
      <c r="A11" s="326"/>
      <c r="B11" s="592" t="s">
        <v>269</v>
      </c>
      <c r="C11" s="593"/>
      <c r="D11" s="593"/>
      <c r="E11" s="594"/>
      <c r="F11" s="71"/>
      <c r="G11" s="71"/>
      <c r="H11" s="71"/>
      <c r="I11" s="12"/>
      <c r="J11" s="12"/>
      <c r="K11" s="12"/>
    </row>
    <row r="12" spans="1:11" ht="12.75">
      <c r="A12" s="327"/>
      <c r="B12" s="325"/>
      <c r="C12" s="243"/>
      <c r="D12" s="327"/>
      <c r="E12" s="325"/>
      <c r="F12" s="71"/>
      <c r="G12" s="71"/>
      <c r="H12" s="71"/>
      <c r="I12" s="12"/>
      <c r="J12" s="12"/>
      <c r="K12" s="12"/>
    </row>
    <row r="13" spans="1:11" ht="12.75">
      <c r="A13" s="363" t="s">
        <v>245</v>
      </c>
      <c r="B13" s="328">
        <v>683.4</v>
      </c>
      <c r="C13" s="329">
        <f>(13461.84+195112.54+6155+2124.22+13.63+96260.39+16043.4)/1000+86.8+7.9</f>
        <v>423.87102</v>
      </c>
      <c r="D13" s="367" t="s">
        <v>253</v>
      </c>
      <c r="E13" s="359"/>
      <c r="F13" s="71"/>
      <c r="G13" s="71"/>
      <c r="H13" s="71"/>
      <c r="I13" s="12"/>
      <c r="J13" s="12"/>
      <c r="K13" s="12"/>
    </row>
    <row r="14" spans="1:11" ht="12.75">
      <c r="A14" s="330"/>
      <c r="B14" s="331"/>
      <c r="C14" s="332"/>
      <c r="D14" s="330" t="s">
        <v>233</v>
      </c>
      <c r="E14" s="344"/>
      <c r="F14" s="71"/>
      <c r="G14" s="71"/>
      <c r="H14" s="12"/>
      <c r="I14" s="12"/>
      <c r="J14" s="12"/>
      <c r="K14" s="12"/>
    </row>
    <row r="15" spans="1:11" ht="12.75">
      <c r="A15" s="334"/>
      <c r="B15" s="335"/>
      <c r="C15" s="332"/>
      <c r="D15" s="334" t="s">
        <v>232</v>
      </c>
      <c r="E15" s="344"/>
      <c r="F15" s="71"/>
      <c r="G15" s="71"/>
      <c r="H15" s="12"/>
      <c r="I15" s="12"/>
      <c r="J15" s="12"/>
      <c r="K15" s="12"/>
    </row>
    <row r="16" spans="1:11" ht="12.75">
      <c r="A16" s="330"/>
      <c r="B16" s="335"/>
      <c r="C16" s="332"/>
      <c r="D16" s="330" t="s">
        <v>234</v>
      </c>
      <c r="E16" s="344"/>
      <c r="F16" s="71"/>
      <c r="G16" s="71"/>
      <c r="H16" s="71"/>
      <c r="I16" s="214"/>
      <c r="J16" s="12"/>
      <c r="K16" s="12"/>
    </row>
    <row r="17" spans="1:11" ht="12.75">
      <c r="A17" s="336" t="s">
        <v>235</v>
      </c>
      <c r="B17" s="335">
        <v>430.2</v>
      </c>
      <c r="C17" s="337">
        <f>(56765.1+201975.79+36120+15034.28+5410.69+28174.61)/1000</f>
        <v>343.48047</v>
      </c>
      <c r="D17" s="334" t="s">
        <v>265</v>
      </c>
      <c r="E17" s="344"/>
      <c r="F17" s="71"/>
      <c r="G17" s="71"/>
      <c r="H17" s="71"/>
      <c r="I17" s="214"/>
      <c r="J17" s="12"/>
      <c r="K17" s="12"/>
    </row>
    <row r="18" spans="1:11" ht="12.75">
      <c r="A18" s="330"/>
      <c r="B18" s="335"/>
      <c r="C18" s="332"/>
      <c r="D18" s="330" t="s">
        <v>266</v>
      </c>
      <c r="E18" s="344"/>
      <c r="F18" s="71"/>
      <c r="G18" s="246"/>
      <c r="H18" s="246"/>
      <c r="I18" s="247"/>
      <c r="J18" s="12"/>
      <c r="K18" s="12"/>
    </row>
    <row r="19" spans="1:11" ht="12.75">
      <c r="A19" s="330"/>
      <c r="B19" s="335"/>
      <c r="C19" s="332"/>
      <c r="D19" s="330" t="s">
        <v>267</v>
      </c>
      <c r="E19" s="344"/>
      <c r="F19" s="71"/>
      <c r="G19" s="71"/>
      <c r="H19" s="71"/>
      <c r="I19" s="247"/>
      <c r="J19" s="12"/>
      <c r="K19" s="12"/>
    </row>
    <row r="20" spans="1:11" ht="12.75">
      <c r="A20" s="336" t="s">
        <v>236</v>
      </c>
      <c r="B20" s="335">
        <v>243.4</v>
      </c>
      <c r="C20" s="332">
        <v>0</v>
      </c>
      <c r="D20" s="330" t="s">
        <v>5</v>
      </c>
      <c r="E20" s="344"/>
      <c r="F20" s="71"/>
      <c r="G20" s="71"/>
      <c r="H20" s="71"/>
      <c r="I20" s="247"/>
      <c r="J20" s="12"/>
      <c r="K20" s="12"/>
    </row>
    <row r="21" spans="1:11" ht="12.75">
      <c r="A21" s="336"/>
      <c r="B21" s="335"/>
      <c r="C21" s="332"/>
      <c r="D21" s="336" t="s">
        <v>246</v>
      </c>
      <c r="E21" s="344"/>
      <c r="F21" s="71"/>
      <c r="G21" s="71"/>
      <c r="H21" s="71"/>
      <c r="I21" s="247"/>
      <c r="J21" s="12"/>
      <c r="K21" s="12"/>
    </row>
    <row r="22" spans="1:11" ht="12.75">
      <c r="A22" s="330"/>
      <c r="B22" s="335"/>
      <c r="C22" s="337">
        <f>(2852.4+3693+78997.8+196265.72)/1000</f>
        <v>281.80892</v>
      </c>
      <c r="D22" s="330" t="s">
        <v>76</v>
      </c>
      <c r="E22" s="344"/>
      <c r="F22" s="71"/>
      <c r="G22" s="71"/>
      <c r="H22" s="71"/>
      <c r="I22" s="247"/>
      <c r="J22" s="12"/>
      <c r="K22" s="12"/>
    </row>
    <row r="23" spans="1:11" ht="12.75">
      <c r="A23" s="330"/>
      <c r="B23" s="335"/>
      <c r="C23" s="337">
        <f>9176.95/1000</f>
        <v>9.176950000000001</v>
      </c>
      <c r="D23" s="330" t="s">
        <v>247</v>
      </c>
      <c r="E23" s="344"/>
      <c r="F23" s="71"/>
      <c r="G23" s="71"/>
      <c r="H23" s="71"/>
      <c r="I23" s="247"/>
      <c r="J23" s="12"/>
      <c r="K23" s="12"/>
    </row>
    <row r="24" spans="1:11" ht="12.75">
      <c r="A24" s="333"/>
      <c r="B24" s="335"/>
      <c r="C24" s="332">
        <v>100</v>
      </c>
      <c r="D24" s="330" t="s">
        <v>237</v>
      </c>
      <c r="E24" s="344"/>
      <c r="F24" s="71"/>
      <c r="G24" s="71"/>
      <c r="H24" s="12"/>
      <c r="I24" s="247"/>
      <c r="J24" s="12"/>
      <c r="K24" s="12"/>
    </row>
    <row r="25" spans="1:11" ht="13.5" thickBot="1">
      <c r="A25" s="336" t="s">
        <v>34</v>
      </c>
      <c r="B25" s="331">
        <v>656.9</v>
      </c>
      <c r="C25" s="332"/>
      <c r="D25" s="330"/>
      <c r="E25" s="344"/>
      <c r="F25" s="71"/>
      <c r="G25" s="71"/>
      <c r="H25" s="71"/>
      <c r="I25" s="247"/>
      <c r="J25" s="12"/>
      <c r="K25" s="12"/>
    </row>
    <row r="26" spans="1:11" ht="13.5" thickBot="1">
      <c r="A26" s="365" t="s">
        <v>249</v>
      </c>
      <c r="B26" s="339">
        <f>B13+B17+B20+B25</f>
        <v>2013.9</v>
      </c>
      <c r="C26" s="340">
        <f>SUM(C13:C25)</f>
        <v>1158.33736</v>
      </c>
      <c r="D26" s="341"/>
      <c r="E26" s="347"/>
      <c r="F26" s="71"/>
      <c r="G26" s="248"/>
      <c r="H26" s="248"/>
      <c r="I26" s="216"/>
      <c r="J26" s="12"/>
      <c r="K26" s="12"/>
    </row>
    <row r="27" spans="1:11" ht="15.75" thickBot="1">
      <c r="A27" s="342"/>
      <c r="B27" s="592" t="s">
        <v>69</v>
      </c>
      <c r="C27" s="593"/>
      <c r="D27" s="593"/>
      <c r="E27" s="594"/>
      <c r="F27" s="12"/>
      <c r="G27" s="70"/>
      <c r="H27" s="71"/>
      <c r="I27" s="12"/>
      <c r="J27" s="12"/>
      <c r="K27" s="12"/>
    </row>
    <row r="28" spans="1:11" ht="12.75">
      <c r="A28" s="364"/>
      <c r="B28" s="361"/>
      <c r="C28" s="362"/>
      <c r="D28" s="371"/>
      <c r="E28" s="372"/>
      <c r="F28" s="12"/>
      <c r="G28" s="71"/>
      <c r="H28" s="71"/>
      <c r="I28" s="247"/>
      <c r="J28" s="12"/>
      <c r="K28" s="12"/>
    </row>
    <row r="29" spans="1:11" ht="12.75">
      <c r="A29" s="343" t="s">
        <v>256</v>
      </c>
      <c r="B29" s="331">
        <v>211.9</v>
      </c>
      <c r="C29" s="337">
        <v>99</v>
      </c>
      <c r="D29" s="335" t="s">
        <v>283</v>
      </c>
      <c r="E29" s="352"/>
      <c r="F29" s="71"/>
      <c r="G29" s="246"/>
      <c r="H29" s="246"/>
      <c r="I29" s="214"/>
      <c r="J29" s="12"/>
      <c r="K29" s="12"/>
    </row>
    <row r="30" spans="1:11" ht="12.75">
      <c r="A30" s="343" t="s">
        <v>257</v>
      </c>
      <c r="B30" s="335"/>
      <c r="C30" s="332"/>
      <c r="D30" s="335"/>
      <c r="E30" s="352"/>
      <c r="F30" s="71"/>
      <c r="G30" s="256"/>
      <c r="H30" s="71"/>
      <c r="I30" s="214"/>
      <c r="J30" s="12"/>
      <c r="K30" s="12"/>
    </row>
    <row r="31" spans="1:11" ht="12.75">
      <c r="A31" s="331"/>
      <c r="B31" s="335"/>
      <c r="C31" s="332"/>
      <c r="D31" s="331"/>
      <c r="E31" s="352"/>
      <c r="F31" s="71"/>
      <c r="G31" s="256"/>
      <c r="H31" s="71"/>
      <c r="I31" s="214"/>
      <c r="J31" s="12"/>
      <c r="K31" s="12"/>
    </row>
    <row r="32" spans="1:11" ht="12.75">
      <c r="A32" s="343" t="s">
        <v>258</v>
      </c>
      <c r="B32" s="335">
        <v>1483.4</v>
      </c>
      <c r="C32" s="337">
        <f>SUM(C33:C40)</f>
        <v>2276.9999999999995</v>
      </c>
      <c r="D32" s="348" t="s">
        <v>260</v>
      </c>
      <c r="E32" s="352"/>
      <c r="F32" s="71"/>
      <c r="G32" s="256"/>
      <c r="H32" s="71"/>
      <c r="I32" s="214"/>
      <c r="J32" s="12"/>
      <c r="K32" s="12"/>
    </row>
    <row r="33" spans="1:11" ht="12.75">
      <c r="A33" s="343"/>
      <c r="B33" s="335"/>
      <c r="C33" s="337">
        <f>0.7+17.9+1217.8+4.8+5.3+3.6+839.2+6.9</f>
        <v>2096.2</v>
      </c>
      <c r="D33" s="331" t="s">
        <v>278</v>
      </c>
      <c r="E33" s="352"/>
      <c r="F33" s="71"/>
      <c r="G33" s="256"/>
      <c r="H33" s="71"/>
      <c r="I33" s="214"/>
      <c r="J33" s="12"/>
      <c r="K33" s="12"/>
    </row>
    <row r="34" spans="1:11" ht="12.75">
      <c r="A34" s="331"/>
      <c r="B34" s="335"/>
      <c r="C34" s="332">
        <v>5</v>
      </c>
      <c r="D34" s="331" t="s">
        <v>261</v>
      </c>
      <c r="E34" s="352"/>
      <c r="F34" s="71"/>
      <c r="G34" s="249"/>
      <c r="H34" s="249"/>
      <c r="I34" s="216"/>
      <c r="J34" s="12"/>
      <c r="K34" s="12"/>
    </row>
    <row r="35" spans="1:11" ht="12.75">
      <c r="A35" s="331"/>
      <c r="B35" s="335"/>
      <c r="C35" s="337">
        <f>0.3+2.2</f>
        <v>2.5</v>
      </c>
      <c r="D35" s="331" t="s">
        <v>259</v>
      </c>
      <c r="E35" s="352"/>
      <c r="F35" s="71"/>
      <c r="G35" s="249"/>
      <c r="H35" s="249"/>
      <c r="I35" s="216"/>
      <c r="J35" s="12"/>
      <c r="K35" s="12"/>
    </row>
    <row r="36" spans="1:11" ht="12.75">
      <c r="A36" s="343"/>
      <c r="B36" s="335"/>
      <c r="C36" s="332">
        <v>41.7</v>
      </c>
      <c r="D36" s="331" t="s">
        <v>263</v>
      </c>
      <c r="E36" s="352"/>
      <c r="F36" s="12"/>
      <c r="G36" s="12"/>
      <c r="H36" s="71"/>
      <c r="I36" s="12"/>
      <c r="J36" s="12"/>
      <c r="K36" s="12"/>
    </row>
    <row r="37" spans="1:11" ht="12.75">
      <c r="A37" s="343"/>
      <c r="B37" s="335"/>
      <c r="C37" s="337">
        <f>6.3</f>
        <v>6.3</v>
      </c>
      <c r="D37" s="331" t="s">
        <v>282</v>
      </c>
      <c r="E37" s="352"/>
      <c r="F37" s="12"/>
      <c r="G37" s="12"/>
      <c r="H37" s="71"/>
      <c r="I37" s="12"/>
      <c r="J37" s="12"/>
      <c r="K37" s="12"/>
    </row>
    <row r="38" spans="1:11" ht="12.75">
      <c r="A38" s="343"/>
      <c r="B38" s="335"/>
      <c r="C38" s="337">
        <f>75.2+4.4</f>
        <v>79.60000000000001</v>
      </c>
      <c r="D38" s="331" t="s">
        <v>270</v>
      </c>
      <c r="E38" s="352"/>
      <c r="F38" s="12"/>
      <c r="G38" s="12"/>
      <c r="H38" s="71"/>
      <c r="I38" s="12"/>
      <c r="J38" s="12"/>
      <c r="K38" s="12"/>
    </row>
    <row r="39" spans="1:11" ht="12.75">
      <c r="A39" s="343"/>
      <c r="B39" s="335"/>
      <c r="C39" s="332">
        <f>12.7+1.5</f>
        <v>14.2</v>
      </c>
      <c r="D39" s="331" t="s">
        <v>272</v>
      </c>
      <c r="E39" s="352"/>
      <c r="F39" s="12"/>
      <c r="G39" s="12"/>
      <c r="H39" s="71"/>
      <c r="I39" s="12"/>
      <c r="J39" s="12"/>
      <c r="K39" s="12"/>
    </row>
    <row r="40" spans="1:11" ht="12.75">
      <c r="A40" s="343"/>
      <c r="B40" s="335"/>
      <c r="C40" s="332">
        <f>25.5+6</f>
        <v>31.5</v>
      </c>
      <c r="D40" s="331" t="s">
        <v>273</v>
      </c>
      <c r="E40" s="352"/>
      <c r="F40" s="12"/>
      <c r="G40" s="12"/>
      <c r="H40" s="71"/>
      <c r="I40" s="12"/>
      <c r="J40" s="12"/>
      <c r="K40" s="12"/>
    </row>
    <row r="41" spans="1:11" ht="12.75">
      <c r="A41" s="343"/>
      <c r="B41" s="335"/>
      <c r="C41" s="332"/>
      <c r="D41" s="343" t="s">
        <v>246</v>
      </c>
      <c r="E41" s="352"/>
      <c r="F41" s="12"/>
      <c r="G41" s="12"/>
      <c r="H41" s="71"/>
      <c r="I41" s="12"/>
      <c r="J41" s="12"/>
      <c r="K41" s="12"/>
    </row>
    <row r="42" spans="1:11" ht="12.75">
      <c r="A42" s="331"/>
      <c r="B42" s="335"/>
      <c r="C42" s="337">
        <f>167.5+22.6+4.7+17.9+6.2+68.8</f>
        <v>287.7</v>
      </c>
      <c r="D42" s="331" t="s">
        <v>287</v>
      </c>
      <c r="E42" s="352"/>
      <c r="F42" s="12"/>
      <c r="G42" s="318"/>
      <c r="H42" s="71"/>
      <c r="I42" s="12"/>
      <c r="J42" s="12"/>
      <c r="K42" s="12"/>
    </row>
    <row r="43" spans="1:11" ht="12.75">
      <c r="A43" s="331"/>
      <c r="B43" s="335"/>
      <c r="C43" s="337">
        <v>50</v>
      </c>
      <c r="D43" s="331" t="s">
        <v>264</v>
      </c>
      <c r="E43" s="352"/>
      <c r="F43" s="12"/>
      <c r="G43" s="12"/>
      <c r="H43" s="71"/>
      <c r="I43" s="12"/>
      <c r="J43" s="12"/>
      <c r="K43" s="12"/>
    </row>
    <row r="44" spans="1:11" ht="12.75">
      <c r="A44" s="331"/>
      <c r="B44" s="335"/>
      <c r="C44" s="332">
        <v>30.9</v>
      </c>
      <c r="D44" s="331" t="s">
        <v>271</v>
      </c>
      <c r="E44" s="352"/>
      <c r="F44" s="12"/>
      <c r="G44" s="12"/>
      <c r="H44" s="71"/>
      <c r="I44" s="12"/>
      <c r="J44" s="12"/>
      <c r="K44" s="12"/>
    </row>
    <row r="45" spans="1:11" ht="12.75">
      <c r="A45" s="331"/>
      <c r="B45" s="331"/>
      <c r="C45" s="332">
        <f>48.5+12.4</f>
        <v>60.9</v>
      </c>
      <c r="D45" s="331" t="s">
        <v>288</v>
      </c>
      <c r="E45" s="352"/>
      <c r="F45" s="12"/>
      <c r="G45" s="12"/>
      <c r="H45" s="71"/>
      <c r="I45" s="12"/>
      <c r="J45" s="12"/>
      <c r="K45" s="12"/>
    </row>
    <row r="46" spans="1:11" ht="12.75">
      <c r="A46" s="331"/>
      <c r="B46" s="331"/>
      <c r="C46" s="332">
        <v>78.5</v>
      </c>
      <c r="D46" s="331" t="s">
        <v>289</v>
      </c>
      <c r="E46" s="352"/>
      <c r="F46" s="252"/>
      <c r="G46" s="12"/>
      <c r="H46" s="71"/>
      <c r="I46" s="12"/>
      <c r="J46" s="12"/>
      <c r="K46" s="12"/>
    </row>
    <row r="47" spans="1:8" ht="12.75">
      <c r="A47" s="343"/>
      <c r="B47" s="331"/>
      <c r="C47" s="377">
        <v>319.7</v>
      </c>
      <c r="D47" s="378" t="s">
        <v>291</v>
      </c>
      <c r="E47" s="352"/>
      <c r="F47" s="69"/>
      <c r="G47" s="69"/>
      <c r="H47" s="4"/>
    </row>
    <row r="48" spans="1:8" ht="13.5" thickBot="1">
      <c r="A48" s="385" t="s">
        <v>34</v>
      </c>
      <c r="B48" s="353">
        <v>682.9</v>
      </c>
      <c r="C48" s="50"/>
      <c r="D48" s="323"/>
      <c r="E48" s="360"/>
      <c r="H48" s="4"/>
    </row>
    <row r="49" spans="1:9" ht="13.5" thickBot="1">
      <c r="A49" s="366" t="s">
        <v>268</v>
      </c>
      <c r="B49" s="339">
        <f>B28+B32+B48</f>
        <v>2166.3</v>
      </c>
      <c r="C49" s="340">
        <f>SUM(C33:C47)+C29</f>
        <v>3203.6999999999994</v>
      </c>
      <c r="D49" s="339"/>
      <c r="E49" s="368"/>
      <c r="F49" s="69"/>
      <c r="G49" s="178"/>
      <c r="H49" s="178"/>
      <c r="I49" s="63"/>
    </row>
    <row r="50" spans="1:9" ht="13.5" hidden="1" thickBot="1">
      <c r="A50" s="349"/>
      <c r="B50" s="42"/>
      <c r="C50" s="42"/>
      <c r="D50" s="42"/>
      <c r="E50" s="360"/>
      <c r="G50" s="178"/>
      <c r="H50" s="178"/>
      <c r="I50" s="63"/>
    </row>
    <row r="51" spans="1:9" ht="13.5" hidden="1" thickBot="1">
      <c r="A51" s="349"/>
      <c r="B51" s="42"/>
      <c r="C51" s="42"/>
      <c r="D51" s="42"/>
      <c r="E51" s="360"/>
      <c r="G51" s="178"/>
      <c r="H51" s="178"/>
      <c r="I51" s="63"/>
    </row>
    <row r="52" spans="1:9" ht="13.5" hidden="1" thickBot="1">
      <c r="A52" s="349" t="s">
        <v>31</v>
      </c>
      <c r="B52" s="42"/>
      <c r="C52" s="42"/>
      <c r="D52" s="42"/>
      <c r="E52" s="360"/>
      <c r="G52" s="4"/>
      <c r="H52" s="4"/>
      <c r="I52" s="63"/>
    </row>
    <row r="53" spans="1:9" ht="13.5" hidden="1" thickBot="1">
      <c r="A53" s="349" t="s">
        <v>32</v>
      </c>
      <c r="B53" s="42"/>
      <c r="C53" s="42"/>
      <c r="D53" s="42"/>
      <c r="E53" s="360"/>
      <c r="G53" s="4"/>
      <c r="H53" s="4"/>
      <c r="I53" s="63"/>
    </row>
    <row r="54" spans="1:9" ht="13.5" hidden="1" thickBot="1">
      <c r="A54" s="333" t="s">
        <v>21</v>
      </c>
      <c r="B54" s="345"/>
      <c r="C54" s="345"/>
      <c r="D54" s="345"/>
      <c r="E54" s="352"/>
      <c r="F54" s="317"/>
      <c r="G54" s="67"/>
      <c r="H54" s="67"/>
      <c r="I54" s="66"/>
    </row>
    <row r="55" spans="1:5" ht="13.5" hidden="1" thickBot="1">
      <c r="A55" s="349"/>
      <c r="B55" s="42"/>
      <c r="C55" s="42"/>
      <c r="D55" s="42"/>
      <c r="E55" s="360"/>
    </row>
    <row r="56" spans="1:5" ht="13.5" hidden="1" thickBot="1">
      <c r="A56" s="349"/>
      <c r="B56" s="42"/>
      <c r="C56" s="42"/>
      <c r="D56" s="42"/>
      <c r="E56" s="360"/>
    </row>
    <row r="57" spans="1:5" ht="13.5" hidden="1" thickBot="1">
      <c r="A57" s="349"/>
      <c r="B57" s="42"/>
      <c r="C57" s="42"/>
      <c r="D57" s="42"/>
      <c r="E57" s="360"/>
    </row>
    <row r="58" spans="1:5" ht="13.5" hidden="1" thickBot="1">
      <c r="A58" s="349" t="s">
        <v>91</v>
      </c>
      <c r="B58" s="42"/>
      <c r="C58" s="42"/>
      <c r="D58" s="42"/>
      <c r="E58" s="360"/>
    </row>
    <row r="59" spans="1:9" ht="13.5" hidden="1" thickBot="1">
      <c r="A59" s="349" t="s">
        <v>90</v>
      </c>
      <c r="B59" s="42"/>
      <c r="C59" s="42"/>
      <c r="D59" s="42"/>
      <c r="E59" s="360"/>
      <c r="I59" s="63"/>
    </row>
    <row r="60" spans="1:9" ht="13.5" hidden="1" thickBot="1">
      <c r="A60" s="349" t="s">
        <v>92</v>
      </c>
      <c r="B60" s="42"/>
      <c r="C60" s="42"/>
      <c r="D60" s="42"/>
      <c r="E60" s="360"/>
      <c r="I60" s="63"/>
    </row>
    <row r="61" spans="1:9" ht="13.5" hidden="1" thickBot="1">
      <c r="A61" s="349" t="s">
        <v>93</v>
      </c>
      <c r="B61" s="42"/>
      <c r="C61" s="42"/>
      <c r="D61" s="42"/>
      <c r="E61" s="360"/>
      <c r="I61" s="63"/>
    </row>
    <row r="62" spans="1:5" ht="13.5" hidden="1" thickBot="1">
      <c r="A62" s="349"/>
      <c r="B62" s="42"/>
      <c r="C62" s="42"/>
      <c r="D62" s="42"/>
      <c r="E62" s="360"/>
    </row>
    <row r="63" spans="1:5" ht="13.5" hidden="1" thickBot="1">
      <c r="A63" s="349"/>
      <c r="B63" s="42"/>
      <c r="C63" s="42"/>
      <c r="D63" s="42"/>
      <c r="E63" s="360"/>
    </row>
    <row r="64" spans="1:5" ht="13.5" hidden="1" thickBot="1">
      <c r="A64" s="349"/>
      <c r="B64" s="42"/>
      <c r="C64" s="42"/>
      <c r="D64" s="42"/>
      <c r="E64" s="360"/>
    </row>
    <row r="65" spans="1:9" ht="13.5" hidden="1" thickBot="1">
      <c r="A65" s="349"/>
      <c r="B65" s="42"/>
      <c r="C65" s="42"/>
      <c r="D65" s="42"/>
      <c r="E65" s="360"/>
      <c r="H65" s="69"/>
      <c r="I65" s="63"/>
    </row>
    <row r="66" spans="1:9" ht="15.75" thickBot="1">
      <c r="A66" s="342"/>
      <c r="B66" s="592" t="s">
        <v>11</v>
      </c>
      <c r="C66" s="593"/>
      <c r="D66" s="593"/>
      <c r="E66" s="594"/>
      <c r="F66" s="69"/>
      <c r="H66" s="69"/>
      <c r="I66" s="63"/>
    </row>
    <row r="67" spans="1:9" ht="12.75">
      <c r="A67" s="336"/>
      <c r="B67" s="335"/>
      <c r="C67" s="337"/>
      <c r="D67" s="376"/>
      <c r="E67" s="538"/>
      <c r="I67" s="63"/>
    </row>
    <row r="68" spans="1:9" ht="12.75">
      <c r="A68" s="336" t="s">
        <v>286</v>
      </c>
      <c r="B68" s="335">
        <f>103.6+558</f>
        <v>661.6</v>
      </c>
      <c r="C68" s="332">
        <v>635.5</v>
      </c>
      <c r="D68" s="335" t="s">
        <v>275</v>
      </c>
      <c r="E68" s="344"/>
      <c r="I68" s="63"/>
    </row>
    <row r="69" spans="1:5" ht="12.75">
      <c r="A69" s="336" t="s">
        <v>285</v>
      </c>
      <c r="B69" s="335"/>
      <c r="C69" s="332"/>
      <c r="D69" s="331" t="s">
        <v>290</v>
      </c>
      <c r="E69" s="344"/>
    </row>
    <row r="70" spans="1:9" ht="12.75">
      <c r="A70" s="336"/>
      <c r="B70" s="335"/>
      <c r="C70" s="377"/>
      <c r="D70" s="331" t="s">
        <v>277</v>
      </c>
      <c r="E70" s="331"/>
      <c r="F70" s="71"/>
      <c r="G70" s="70"/>
      <c r="H70" s="375"/>
      <c r="I70" s="12"/>
    </row>
    <row r="71" spans="1:9" ht="13.5" thickBot="1">
      <c r="A71" s="373" t="s">
        <v>34</v>
      </c>
      <c r="B71" s="374">
        <v>60.8</v>
      </c>
      <c r="C71" s="50"/>
      <c r="D71" s="323"/>
      <c r="E71" s="539"/>
      <c r="F71" s="71"/>
      <c r="G71" s="70"/>
      <c r="H71" s="375"/>
      <c r="I71" s="12"/>
    </row>
    <row r="72" spans="1:6" ht="13.5" thickBot="1">
      <c r="A72" s="347" t="s">
        <v>276</v>
      </c>
      <c r="B72" s="339">
        <f>B68+B71</f>
        <v>722.4</v>
      </c>
      <c r="C72" s="339">
        <f>C68</f>
        <v>635.5</v>
      </c>
      <c r="D72" s="340"/>
      <c r="E72" s="347"/>
      <c r="F72" s="15"/>
    </row>
    <row r="73" spans="1:6" ht="12.75">
      <c r="A73" s="53"/>
      <c r="B73" s="379"/>
      <c r="C73" s="379"/>
      <c r="D73" s="379"/>
      <c r="E73" s="53"/>
      <c r="F73" s="15"/>
    </row>
    <row r="74" spans="1:6" ht="12.75">
      <c r="A74" s="53"/>
      <c r="B74" s="379"/>
      <c r="C74" s="379"/>
      <c r="D74" s="379"/>
      <c r="E74" s="53"/>
      <c r="F74" s="15"/>
    </row>
    <row r="75" spans="1:6" ht="12.75">
      <c r="A75" s="53"/>
      <c r="B75" s="379"/>
      <c r="C75" s="379"/>
      <c r="D75" s="379"/>
      <c r="E75" s="53"/>
      <c r="F75" s="15"/>
    </row>
    <row r="76" spans="1:6" ht="13.5" thickBot="1">
      <c r="A76" s="53"/>
      <c r="B76" s="379"/>
      <c r="C76" s="379"/>
      <c r="D76" s="379"/>
      <c r="E76" s="53"/>
      <c r="F76" s="15"/>
    </row>
    <row r="77" spans="1:8" ht="15.75" thickBot="1">
      <c r="A77" s="342"/>
      <c r="B77" s="592" t="s">
        <v>274</v>
      </c>
      <c r="C77" s="593"/>
      <c r="D77" s="593"/>
      <c r="E77" s="594"/>
      <c r="F77" s="15"/>
      <c r="G77" s="79"/>
      <c r="H77" s="79"/>
    </row>
    <row r="78" spans="1:8" ht="15">
      <c r="A78" s="349"/>
      <c r="B78" s="350"/>
      <c r="C78" s="351"/>
      <c r="D78" s="369"/>
      <c r="E78" s="350"/>
      <c r="F78" s="15"/>
      <c r="G78" s="79"/>
      <c r="H78" s="79"/>
    </row>
    <row r="79" spans="1:8" ht="12.75">
      <c r="A79" s="336" t="s">
        <v>284</v>
      </c>
      <c r="B79" s="335">
        <v>774.6</v>
      </c>
      <c r="C79" s="337">
        <f>C80+C85+C86+C87</f>
        <v>640.8</v>
      </c>
      <c r="D79" s="334" t="s">
        <v>281</v>
      </c>
      <c r="E79" s="344"/>
      <c r="F79" s="15"/>
      <c r="G79" s="79"/>
      <c r="H79" s="79"/>
    </row>
    <row r="80" spans="1:7" ht="12.75">
      <c r="A80" s="330"/>
      <c r="B80" s="335"/>
      <c r="C80" s="332">
        <f>107.2+23.2+89.5+0.4+12.3+132.9+8.4+2.7+47.7</f>
        <v>424.29999999999995</v>
      </c>
      <c r="D80" s="330" t="s">
        <v>278</v>
      </c>
      <c r="E80" s="344"/>
      <c r="F80" s="15"/>
      <c r="G80" s="79"/>
    </row>
    <row r="81" spans="1:8" ht="12.75" customHeight="1" hidden="1">
      <c r="A81" s="336"/>
      <c r="B81" s="335"/>
      <c r="C81" s="332"/>
      <c r="D81" s="330" t="s">
        <v>5</v>
      </c>
      <c r="E81" s="344"/>
      <c r="F81" s="15"/>
      <c r="H81" s="69"/>
    </row>
    <row r="82" spans="1:5" ht="12.75" customHeight="1" hidden="1">
      <c r="A82" s="336"/>
      <c r="B82" s="335"/>
      <c r="C82" s="332"/>
      <c r="D82" s="336" t="s">
        <v>246</v>
      </c>
      <c r="E82" s="344"/>
    </row>
    <row r="83" spans="1:5" ht="12.75" customHeight="1" hidden="1">
      <c r="A83" s="333"/>
      <c r="B83" s="335"/>
      <c r="C83" s="337">
        <f>(2852.4+3693+78997.8+196265.72)/1000</f>
        <v>281.80892</v>
      </c>
      <c r="D83" s="330" t="s">
        <v>259</v>
      </c>
      <c r="E83" s="344"/>
    </row>
    <row r="84" spans="1:5" ht="13.5" customHeight="1" hidden="1" thickBot="1">
      <c r="A84" s="338"/>
      <c r="B84" s="335"/>
      <c r="C84" s="337">
        <f>9176.95/1000</f>
        <v>9.176950000000001</v>
      </c>
      <c r="D84" s="330" t="s">
        <v>262</v>
      </c>
      <c r="E84" s="344"/>
    </row>
    <row r="85" spans="1:5" ht="12.75">
      <c r="A85" s="333"/>
      <c r="B85" s="335"/>
      <c r="C85" s="332">
        <f>82.3+56.8</f>
        <v>139.1</v>
      </c>
      <c r="D85" s="330" t="s">
        <v>261</v>
      </c>
      <c r="E85" s="344"/>
    </row>
    <row r="86" spans="1:5" ht="12.75">
      <c r="A86" s="333"/>
      <c r="B86" s="335"/>
      <c r="C86" s="332">
        <f>7.4+0.2</f>
        <v>7.6000000000000005</v>
      </c>
      <c r="D86" s="330" t="s">
        <v>259</v>
      </c>
      <c r="E86" s="344"/>
    </row>
    <row r="87" spans="1:5" ht="12.75">
      <c r="A87" s="333"/>
      <c r="B87" s="335"/>
      <c r="C87" s="332">
        <f>62.3+7.5</f>
        <v>69.8</v>
      </c>
      <c r="D87" s="330" t="s">
        <v>263</v>
      </c>
      <c r="E87" s="344"/>
    </row>
    <row r="88" spans="1:9" ht="12.75">
      <c r="A88" s="336" t="s">
        <v>34</v>
      </c>
      <c r="B88" s="335">
        <v>333.4</v>
      </c>
      <c r="C88" s="332"/>
      <c r="D88" s="330"/>
      <c r="E88" s="344"/>
      <c r="I88" s="63"/>
    </row>
    <row r="89" spans="1:9" ht="12.75">
      <c r="A89" s="336"/>
      <c r="B89" s="335"/>
      <c r="C89" s="332"/>
      <c r="D89" s="336" t="s">
        <v>246</v>
      </c>
      <c r="E89" s="346"/>
      <c r="I89" s="63"/>
    </row>
    <row r="90" spans="1:5" ht="12.75">
      <c r="A90" s="349"/>
      <c r="B90" s="353"/>
      <c r="C90" s="50">
        <f>67+0.1+10+36.8</f>
        <v>113.89999999999999</v>
      </c>
      <c r="D90" s="320" t="s">
        <v>239</v>
      </c>
      <c r="E90" s="344"/>
    </row>
    <row r="91" spans="1:5" ht="13.5" thickBot="1">
      <c r="A91" s="338"/>
      <c r="B91" s="335"/>
      <c r="C91" s="337">
        <v>5</v>
      </c>
      <c r="D91" s="330" t="s">
        <v>279</v>
      </c>
      <c r="E91" s="370"/>
    </row>
    <row r="92" spans="1:5" ht="13.5" thickBot="1">
      <c r="A92" s="347" t="s">
        <v>280</v>
      </c>
      <c r="B92" s="339">
        <f>B79+B88</f>
        <v>1108</v>
      </c>
      <c r="C92" s="340">
        <f>C79+C90+C91</f>
        <v>759.6999999999999</v>
      </c>
      <c r="D92" s="339"/>
      <c r="E92" s="355"/>
    </row>
    <row r="93" spans="1:5" ht="12.75">
      <c r="A93" s="313"/>
      <c r="B93" s="315"/>
      <c r="C93" s="312"/>
      <c r="D93" s="314"/>
      <c r="E93" s="316"/>
    </row>
    <row r="94" spans="1:5" ht="13.5" thickBot="1">
      <c r="A94" s="381" t="s">
        <v>292</v>
      </c>
      <c r="B94" s="382">
        <f>B92+B72+B49+B26</f>
        <v>6010.6</v>
      </c>
      <c r="C94" s="382">
        <f>C92+C72+C49+C26</f>
        <v>5757.237359999999</v>
      </c>
      <c r="D94" s="383"/>
      <c r="E94" s="384"/>
    </row>
    <row r="95" spans="1:5" ht="15">
      <c r="A95" s="42"/>
      <c r="B95" s="585"/>
      <c r="C95" s="585"/>
      <c r="D95" s="585"/>
      <c r="E95" s="585"/>
    </row>
    <row r="96" spans="1:5" ht="13.5" thickBot="1">
      <c r="A96" s="375"/>
      <c r="B96" s="50"/>
      <c r="C96" s="221"/>
      <c r="D96" s="221"/>
      <c r="E96" s="42"/>
    </row>
    <row r="97" spans="1:5" ht="15.75" thickBot="1">
      <c r="A97" s="342"/>
      <c r="B97" s="592" t="s">
        <v>364</v>
      </c>
      <c r="C97" s="593"/>
      <c r="D97" s="606"/>
      <c r="E97" s="607"/>
    </row>
    <row r="98" spans="1:5" ht="12.75">
      <c r="A98" s="364"/>
      <c r="B98" s="361"/>
      <c r="C98" s="362"/>
      <c r="D98" s="600"/>
      <c r="E98" s="601"/>
    </row>
    <row r="99" spans="1:5" ht="12.75">
      <c r="A99" s="343" t="s">
        <v>365</v>
      </c>
      <c r="B99" s="328">
        <v>371795</v>
      </c>
      <c r="C99" s="329"/>
      <c r="D99" s="367"/>
      <c r="E99" s="480"/>
    </row>
    <row r="100" spans="1:5" ht="12.75">
      <c r="A100" s="343"/>
      <c r="B100" s="331"/>
      <c r="C100" s="490">
        <f>24408.82+15818.35+6900</f>
        <v>47127.17</v>
      </c>
      <c r="D100" s="602" t="s">
        <v>366</v>
      </c>
      <c r="E100" s="603"/>
    </row>
    <row r="101" spans="1:5" ht="12.75">
      <c r="A101" s="343"/>
      <c r="B101" s="335"/>
      <c r="C101" s="490">
        <v>350.49</v>
      </c>
      <c r="D101" s="602" t="s">
        <v>367</v>
      </c>
      <c r="E101" s="603"/>
    </row>
    <row r="102" spans="1:5" ht="12.75">
      <c r="A102" s="331" t="s">
        <v>370</v>
      </c>
      <c r="B102" s="335"/>
      <c r="C102" s="490">
        <v>25055.22</v>
      </c>
      <c r="D102" s="604" t="s">
        <v>368</v>
      </c>
      <c r="E102" s="605"/>
    </row>
    <row r="103" spans="1:5" ht="12.75">
      <c r="A103" s="378" t="s">
        <v>369</v>
      </c>
      <c r="B103" s="335"/>
      <c r="C103" s="490">
        <v>9341.95</v>
      </c>
      <c r="D103" s="602" t="s">
        <v>309</v>
      </c>
      <c r="E103" s="603"/>
    </row>
    <row r="104" spans="1:5" ht="12.75">
      <c r="A104" s="378" t="s">
        <v>372</v>
      </c>
      <c r="B104" s="335"/>
      <c r="C104" s="490">
        <v>2802.73</v>
      </c>
      <c r="D104" s="604" t="s">
        <v>313</v>
      </c>
      <c r="E104" s="605"/>
    </row>
    <row r="105" spans="1:5" ht="12.75">
      <c r="A105" s="378" t="s">
        <v>373</v>
      </c>
      <c r="B105" s="335"/>
      <c r="C105" s="490">
        <v>2398.93</v>
      </c>
      <c r="D105" s="604" t="s">
        <v>394</v>
      </c>
      <c r="E105" s="605"/>
    </row>
    <row r="106" spans="1:5" ht="12.75">
      <c r="A106" s="378" t="s">
        <v>374</v>
      </c>
      <c r="B106" s="335"/>
      <c r="C106" s="490">
        <v>3193.35</v>
      </c>
      <c r="D106" s="604" t="s">
        <v>375</v>
      </c>
      <c r="E106" s="605"/>
    </row>
    <row r="107" spans="1:5" ht="12.75">
      <c r="A107" s="378" t="s">
        <v>377</v>
      </c>
      <c r="B107" s="335"/>
      <c r="C107" s="490"/>
      <c r="D107" s="338" t="s">
        <v>376</v>
      </c>
      <c r="E107" s="481"/>
    </row>
    <row r="108" spans="1:5" ht="12.75">
      <c r="A108" s="486" t="s">
        <v>318</v>
      </c>
      <c r="B108" s="488"/>
      <c r="C108" s="491">
        <v>25505.12</v>
      </c>
      <c r="D108" s="608" t="s">
        <v>319</v>
      </c>
      <c r="E108" s="609"/>
    </row>
    <row r="109" spans="1:5" ht="12.75">
      <c r="A109" s="486" t="s">
        <v>380</v>
      </c>
      <c r="B109" s="488"/>
      <c r="C109" s="491">
        <v>11728.85</v>
      </c>
      <c r="D109" s="608" t="s">
        <v>378</v>
      </c>
      <c r="E109" s="609"/>
    </row>
    <row r="110" spans="1:5" ht="12.75">
      <c r="A110" s="478" t="s">
        <v>392</v>
      </c>
      <c r="B110" s="374"/>
      <c r="C110" s="223"/>
      <c r="D110" s="494" t="s">
        <v>379</v>
      </c>
      <c r="E110" s="357"/>
    </row>
    <row r="111" spans="1:5" ht="12.75">
      <c r="A111" s="478" t="s">
        <v>332</v>
      </c>
      <c r="B111" s="374"/>
      <c r="C111" s="223"/>
      <c r="D111" s="320" t="s">
        <v>393</v>
      </c>
      <c r="E111" s="357"/>
    </row>
    <row r="112" spans="1:5" ht="12.75">
      <c r="A112" s="478" t="s">
        <v>381</v>
      </c>
      <c r="B112" s="374"/>
      <c r="C112" s="223"/>
      <c r="D112" s="320"/>
      <c r="E112" s="357"/>
    </row>
    <row r="113" spans="1:5" ht="12.75">
      <c r="A113" s="487" t="s">
        <v>382</v>
      </c>
      <c r="B113" s="489"/>
      <c r="C113" s="492"/>
      <c r="D113" s="482"/>
      <c r="E113" s="483"/>
    </row>
    <row r="114" spans="1:5" ht="12.75">
      <c r="A114" s="487" t="s">
        <v>321</v>
      </c>
      <c r="B114" s="489"/>
      <c r="C114" s="492">
        <v>7798.77</v>
      </c>
      <c r="D114" s="610" t="s">
        <v>322</v>
      </c>
      <c r="E114" s="611"/>
    </row>
    <row r="115" spans="1:5" ht="12.75">
      <c r="A115" s="378" t="s">
        <v>323</v>
      </c>
      <c r="B115" s="335"/>
      <c r="C115" s="490">
        <v>26175.8</v>
      </c>
      <c r="D115" s="604" t="s">
        <v>383</v>
      </c>
      <c r="E115" s="605"/>
    </row>
    <row r="116" spans="1:5" ht="12.75">
      <c r="A116" s="378" t="s">
        <v>384</v>
      </c>
      <c r="B116" s="335"/>
      <c r="C116" s="490">
        <v>45</v>
      </c>
      <c r="D116" s="612" t="s">
        <v>326</v>
      </c>
      <c r="E116" s="613"/>
    </row>
    <row r="117" spans="1:5" ht="12.75">
      <c r="A117" s="378" t="s">
        <v>385</v>
      </c>
      <c r="B117" s="335"/>
      <c r="C117" s="490"/>
      <c r="D117" s="484"/>
      <c r="E117" s="485"/>
    </row>
    <row r="118" spans="1:5" ht="12.75">
      <c r="A118" s="378" t="s">
        <v>327</v>
      </c>
      <c r="B118" s="335"/>
      <c r="C118" s="490">
        <v>1751.83</v>
      </c>
      <c r="D118" s="604" t="s">
        <v>386</v>
      </c>
      <c r="E118" s="605"/>
    </row>
    <row r="119" spans="1:5" ht="12.75">
      <c r="A119" s="378" t="s">
        <v>387</v>
      </c>
      <c r="B119" s="335"/>
      <c r="C119" s="490">
        <v>412.96</v>
      </c>
      <c r="D119" s="604" t="s">
        <v>329</v>
      </c>
      <c r="E119" s="605"/>
    </row>
    <row r="120" spans="1:5" ht="12.75">
      <c r="A120" s="378" t="s">
        <v>388</v>
      </c>
      <c r="B120" s="335"/>
      <c r="C120" s="490">
        <v>3662.38</v>
      </c>
      <c r="D120" s="604" t="s">
        <v>389</v>
      </c>
      <c r="E120" s="605"/>
    </row>
    <row r="121" spans="1:5" ht="12.75">
      <c r="A121" s="378" t="s">
        <v>332</v>
      </c>
      <c r="B121" s="331"/>
      <c r="C121" s="490">
        <v>10139.38</v>
      </c>
      <c r="D121" s="604" t="s">
        <v>395</v>
      </c>
      <c r="E121" s="605"/>
    </row>
    <row r="122" spans="1:5" ht="12.75">
      <c r="A122" s="378" t="s">
        <v>370</v>
      </c>
      <c r="B122" s="331"/>
      <c r="C122" s="490">
        <v>4122.62</v>
      </c>
      <c r="D122" s="604" t="s">
        <v>396</v>
      </c>
      <c r="E122" s="605"/>
    </row>
    <row r="123" spans="1:5" ht="12.75">
      <c r="A123" s="378" t="s">
        <v>335</v>
      </c>
      <c r="B123" s="331"/>
      <c r="C123" s="490">
        <v>32162.52</v>
      </c>
      <c r="D123" s="612" t="s">
        <v>371</v>
      </c>
      <c r="E123" s="613"/>
    </row>
    <row r="124" spans="1:5" ht="13.5" thickBot="1">
      <c r="A124" s="495"/>
      <c r="B124" s="353"/>
      <c r="C124" s="493"/>
      <c r="D124" s="614"/>
      <c r="E124" s="615"/>
    </row>
    <row r="125" spans="1:5" ht="13.5" thickBot="1">
      <c r="A125" s="365" t="s">
        <v>390</v>
      </c>
      <c r="B125" s="479">
        <f>B99</f>
        <v>371795</v>
      </c>
      <c r="C125" s="477">
        <f>SUM(C100:C124)</f>
        <v>213775.06999999995</v>
      </c>
      <c r="D125" s="598"/>
      <c r="E125" s="599"/>
    </row>
    <row r="126" spans="1:5" ht="12.75">
      <c r="A126" s="471"/>
      <c r="B126" s="461"/>
      <c r="C126" s="463"/>
      <c r="D126" s="475"/>
      <c r="E126" s="42"/>
    </row>
    <row r="127" spans="1:5" ht="12.75">
      <c r="A127" s="471"/>
      <c r="B127" s="464"/>
      <c r="C127" s="474"/>
      <c r="D127" s="472"/>
      <c r="E127" s="42"/>
    </row>
    <row r="128" spans="1:5" ht="12.75">
      <c r="A128" s="473"/>
      <c r="B128" s="461"/>
      <c r="C128" s="458"/>
      <c r="D128" s="476"/>
      <c r="E128" s="42"/>
    </row>
    <row r="129" spans="1:5" ht="12.75">
      <c r="A129" s="496" t="s">
        <v>359</v>
      </c>
      <c r="B129" s="463"/>
      <c r="C129" s="464"/>
      <c r="D129" s="499" t="s">
        <v>360</v>
      </c>
      <c r="E129" s="42"/>
    </row>
    <row r="130" spans="1:5" ht="12.75">
      <c r="A130" s="269"/>
      <c r="B130" s="497"/>
      <c r="C130" s="497"/>
      <c r="D130" s="498"/>
      <c r="E130" s="42"/>
    </row>
    <row r="131" spans="1:5" ht="12.75">
      <c r="A131" s="496" t="s">
        <v>361</v>
      </c>
      <c r="B131" s="463"/>
      <c r="C131" s="464"/>
      <c r="D131" s="499" t="s">
        <v>362</v>
      </c>
      <c r="E131" s="380"/>
    </row>
    <row r="132" spans="1:5" ht="12.75">
      <c r="A132" s="269"/>
      <c r="B132" s="497"/>
      <c r="C132" s="497"/>
      <c r="D132" s="498"/>
      <c r="E132" s="12"/>
    </row>
    <row r="133" spans="1:5" ht="12.75">
      <c r="A133" s="471" t="s">
        <v>363</v>
      </c>
      <c r="B133" s="464"/>
      <c r="C133" s="464"/>
      <c r="D133" s="499" t="s">
        <v>4</v>
      </c>
      <c r="E133" s="12"/>
    </row>
    <row r="134" spans="1:5" ht="12.75">
      <c r="A134" s="12"/>
      <c r="B134" s="12"/>
      <c r="C134" s="12"/>
      <c r="D134" s="12"/>
      <c r="E134" s="12"/>
    </row>
    <row r="135" spans="1:5" ht="12.75">
      <c r="A135" s="12"/>
      <c r="B135" s="12"/>
      <c r="C135" s="12"/>
      <c r="D135" s="12"/>
      <c r="E135" s="12"/>
    </row>
    <row r="136" spans="1:5" ht="12.75">
      <c r="A136" s="12"/>
      <c r="B136" s="12"/>
      <c r="C136" s="12"/>
      <c r="D136" s="12"/>
      <c r="E136" s="12"/>
    </row>
    <row r="137" spans="1:5" ht="12.75">
      <c r="A137" s="12"/>
      <c r="B137" s="12"/>
      <c r="C137" s="12"/>
      <c r="D137" s="12"/>
      <c r="E137" s="12"/>
    </row>
    <row r="138" spans="1:5" ht="12.75">
      <c r="A138" s="12"/>
      <c r="B138" s="12"/>
      <c r="C138" s="12"/>
      <c r="D138" s="12"/>
      <c r="E138" s="12"/>
    </row>
    <row r="139" spans="1:5" ht="12.75">
      <c r="A139" s="12"/>
      <c r="B139" s="12"/>
      <c r="C139" s="12"/>
      <c r="D139" s="12"/>
      <c r="E139" s="12"/>
    </row>
    <row r="140" spans="1:5" ht="12.75">
      <c r="A140" s="12"/>
      <c r="B140" s="12"/>
      <c r="C140" s="12"/>
      <c r="D140" s="12"/>
      <c r="E140" s="12"/>
    </row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19" ht="12.75" hidden="1"/>
    <row r="220" ht="12.75" hidden="1"/>
    <row r="221" ht="12.75" hidden="1"/>
    <row r="268" ht="12.75" hidden="1"/>
    <row r="279" ht="12.75" hidden="1"/>
    <row r="288" ht="12.75" hidden="1"/>
    <row r="292" ht="12.75" hidden="1"/>
    <row r="301" ht="12.75" hidden="1"/>
    <row r="309" ht="12.75" hidden="1"/>
    <row r="319" ht="12.75" hidden="1"/>
    <row r="320" ht="12.75" hidden="1"/>
    <row r="321" ht="12.75" hidden="1"/>
  </sheetData>
  <sheetProtection/>
  <mergeCells count="30">
    <mergeCell ref="D114:E114"/>
    <mergeCell ref="D123:E123"/>
    <mergeCell ref="D124:E124"/>
    <mergeCell ref="D116:E116"/>
    <mergeCell ref="D115:E115"/>
    <mergeCell ref="D108:E108"/>
    <mergeCell ref="D119:E119"/>
    <mergeCell ref="D102:E102"/>
    <mergeCell ref="D106:E106"/>
    <mergeCell ref="D103:E103"/>
    <mergeCell ref="D104:E104"/>
    <mergeCell ref="D105:E105"/>
    <mergeCell ref="D109:E109"/>
    <mergeCell ref="D125:E125"/>
    <mergeCell ref="D98:E98"/>
    <mergeCell ref="D100:E100"/>
    <mergeCell ref="D121:E121"/>
    <mergeCell ref="D122:E122"/>
    <mergeCell ref="B95:E95"/>
    <mergeCell ref="D120:E120"/>
    <mergeCell ref="D118:E118"/>
    <mergeCell ref="B97:E97"/>
    <mergeCell ref="D101:E101"/>
    <mergeCell ref="B77:E77"/>
    <mergeCell ref="A3:E3"/>
    <mergeCell ref="A4:E4"/>
    <mergeCell ref="C7:D7"/>
    <mergeCell ref="B11:E11"/>
    <mergeCell ref="B27:E27"/>
    <mergeCell ref="B66:E66"/>
  </mergeCells>
  <printOptions/>
  <pageMargins left="0.96" right="0.23" top="0.66" bottom="0.43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K142"/>
  <sheetViews>
    <sheetView zoomScalePageLayoutView="0" workbookViewId="0" topLeftCell="A97">
      <selection activeCell="A98" sqref="A98:D121"/>
    </sheetView>
  </sheetViews>
  <sheetFormatPr defaultColWidth="9.140625" defaultRowHeight="12.75"/>
  <cols>
    <col min="1" max="1" width="1.28515625" style="0" customWidth="1"/>
    <col min="2" max="2" width="40.7109375" style="0" customWidth="1"/>
    <col min="3" max="3" width="14.00390625" style="465" customWidth="1"/>
    <col min="4" max="4" width="14.421875" style="465" customWidth="1"/>
    <col min="5" max="5" width="23.28125" style="465" bestFit="1" customWidth="1"/>
    <col min="6" max="6" width="13.8515625" style="0" customWidth="1"/>
    <col min="7" max="7" width="10.28125" style="0" customWidth="1"/>
  </cols>
  <sheetData>
    <row r="1" spans="3:5" ht="25.5">
      <c r="C1" s="386" t="s">
        <v>293</v>
      </c>
      <c r="D1" s="4"/>
      <c r="E1" s="4"/>
    </row>
    <row r="2" spans="3:5" ht="25.5">
      <c r="C2" s="386" t="s">
        <v>294</v>
      </c>
      <c r="D2" s="4"/>
      <c r="E2" s="4"/>
    </row>
    <row r="3" spans="3:5" ht="15.75">
      <c r="C3" s="387" t="s">
        <v>295</v>
      </c>
      <c r="D3" s="4"/>
      <c r="E3" s="4"/>
    </row>
    <row r="4" spans="3:5" ht="15.75">
      <c r="C4" s="387" t="s">
        <v>296</v>
      </c>
      <c r="D4" s="4"/>
      <c r="E4" s="4"/>
    </row>
    <row r="5" spans="3:7" ht="15">
      <c r="C5" s="388" t="s">
        <v>297</v>
      </c>
      <c r="D5" s="4"/>
      <c r="E5" s="4"/>
      <c r="F5" s="15"/>
      <c r="G5" s="15"/>
    </row>
    <row r="6" spans="2:5" ht="16.5" customHeight="1">
      <c r="B6" s="616" t="s">
        <v>298</v>
      </c>
      <c r="C6" s="616"/>
      <c r="D6" s="616"/>
      <c r="E6" s="616"/>
    </row>
    <row r="7" spans="3:11" ht="13.5" thickBot="1">
      <c r="C7" s="4"/>
      <c r="D7" s="4"/>
      <c r="E7" s="4"/>
      <c r="F7" s="71"/>
      <c r="G7" s="71"/>
      <c r="H7" s="71"/>
      <c r="I7" s="12"/>
      <c r="J7" s="12"/>
      <c r="K7" s="12"/>
    </row>
    <row r="8" spans="1:11" ht="13.5" thickBot="1">
      <c r="A8" s="15"/>
      <c r="B8" s="389" t="s">
        <v>299</v>
      </c>
      <c r="C8" s="390" t="s">
        <v>27</v>
      </c>
      <c r="D8" s="391" t="s">
        <v>300</v>
      </c>
      <c r="E8" s="392" t="s">
        <v>301</v>
      </c>
      <c r="F8" s="71"/>
      <c r="G8" s="71"/>
      <c r="H8" s="71"/>
      <c r="I8" s="12"/>
      <c r="J8" s="12"/>
      <c r="K8" s="12"/>
    </row>
    <row r="9" spans="1:11" ht="12.75">
      <c r="A9" s="80"/>
      <c r="B9" s="393"/>
      <c r="C9" s="394"/>
      <c r="D9" s="395"/>
      <c r="E9" s="396"/>
      <c r="F9" s="71"/>
      <c r="G9" s="71"/>
      <c r="H9" s="71"/>
      <c r="I9" s="12"/>
      <c r="J9" s="12"/>
      <c r="K9" s="12"/>
    </row>
    <row r="10" spans="1:11" ht="12.75">
      <c r="A10" s="80"/>
      <c r="B10" s="397" t="s">
        <v>302</v>
      </c>
      <c r="C10" s="394"/>
      <c r="D10" s="395"/>
      <c r="E10" s="396"/>
      <c r="F10" s="71"/>
      <c r="G10" s="71"/>
      <c r="H10" s="71"/>
      <c r="I10" s="12"/>
      <c r="J10" s="12"/>
      <c r="K10" s="12"/>
    </row>
    <row r="11" spans="1:11" ht="38.25">
      <c r="A11" s="80"/>
      <c r="B11" s="398" t="s">
        <v>303</v>
      </c>
      <c r="C11" s="399"/>
      <c r="D11" s="400">
        <f>15793.41+8346.83+268.58</f>
        <v>24408.82</v>
      </c>
      <c r="E11" s="398" t="s">
        <v>303</v>
      </c>
      <c r="F11" s="71"/>
      <c r="G11" s="71"/>
      <c r="H11" s="71"/>
      <c r="I11" s="12"/>
      <c r="J11" s="12"/>
      <c r="K11" s="12"/>
    </row>
    <row r="12" spans="1:11" ht="25.5">
      <c r="A12" s="80"/>
      <c r="B12" s="398" t="s">
        <v>304</v>
      </c>
      <c r="C12" s="399"/>
      <c r="D12" s="400">
        <v>15818.35</v>
      </c>
      <c r="E12" s="398" t="s">
        <v>304</v>
      </c>
      <c r="F12" s="71"/>
      <c r="G12" s="71"/>
      <c r="H12" s="71"/>
      <c r="I12" s="12"/>
      <c r="J12" s="12"/>
      <c r="K12" s="12"/>
    </row>
    <row r="13" spans="1:11" ht="12.75">
      <c r="A13" s="80"/>
      <c r="B13" s="398" t="s">
        <v>305</v>
      </c>
      <c r="C13" s="399"/>
      <c r="D13" s="400">
        <f>350.49</f>
        <v>350.49</v>
      </c>
      <c r="E13" s="401"/>
      <c r="F13" s="71"/>
      <c r="G13" s="71"/>
      <c r="H13" s="71"/>
      <c r="I13" s="12"/>
      <c r="J13" s="12"/>
      <c r="K13" s="12"/>
    </row>
    <row r="14" spans="1:11" ht="12.75">
      <c r="A14" s="80"/>
      <c r="B14" s="402" t="s">
        <v>306</v>
      </c>
      <c r="C14" s="399"/>
      <c r="D14" s="400">
        <f>24840.35+214.87</f>
        <v>25055.219999999998</v>
      </c>
      <c r="E14" s="401" t="s">
        <v>307</v>
      </c>
      <c r="F14" s="71"/>
      <c r="G14" s="71"/>
      <c r="H14" s="12"/>
      <c r="I14" s="12"/>
      <c r="J14" s="12"/>
      <c r="K14" s="12"/>
    </row>
    <row r="15" spans="1:11" ht="12.75">
      <c r="A15" s="80"/>
      <c r="B15" s="398" t="s">
        <v>308</v>
      </c>
      <c r="C15" s="399"/>
      <c r="D15" s="403">
        <f>6609.24+2732.71</f>
        <v>9341.95</v>
      </c>
      <c r="E15" s="401" t="s">
        <v>309</v>
      </c>
      <c r="F15" s="71"/>
      <c r="G15" s="71"/>
      <c r="H15" s="12"/>
      <c r="I15" s="12"/>
      <c r="J15" s="12"/>
      <c r="K15" s="12"/>
    </row>
    <row r="16" spans="2:11" ht="12.75">
      <c r="B16" s="398" t="s">
        <v>310</v>
      </c>
      <c r="C16" s="399"/>
      <c r="D16" s="403">
        <f>34684.66+3974.06</f>
        <v>38658.72</v>
      </c>
      <c r="E16" s="404" t="s">
        <v>311</v>
      </c>
      <c r="F16" s="71"/>
      <c r="G16" s="71"/>
      <c r="H16" s="71"/>
      <c r="I16" s="214"/>
      <c r="J16" s="12"/>
      <c r="K16" s="12"/>
    </row>
    <row r="17" spans="2:11" ht="12.75">
      <c r="B17" s="398" t="s">
        <v>312</v>
      </c>
      <c r="C17" s="399"/>
      <c r="D17" s="403">
        <f>2752.52+50.21</f>
        <v>2802.73</v>
      </c>
      <c r="E17" s="401" t="s">
        <v>313</v>
      </c>
      <c r="F17" s="71"/>
      <c r="G17" s="71"/>
      <c r="H17" s="71"/>
      <c r="I17" s="214"/>
      <c r="J17" s="12"/>
      <c r="K17" s="12"/>
    </row>
    <row r="18" spans="2:11" ht="12.75">
      <c r="B18" s="398" t="s">
        <v>314</v>
      </c>
      <c r="C18" s="399"/>
      <c r="D18" s="403">
        <f>670.99+282.59+287.37+1157.98</f>
        <v>2398.93</v>
      </c>
      <c r="E18" s="401" t="s">
        <v>315</v>
      </c>
      <c r="F18" s="71"/>
      <c r="G18" s="246"/>
      <c r="H18" s="246"/>
      <c r="I18" s="247"/>
      <c r="J18" s="12"/>
      <c r="K18" s="12"/>
    </row>
    <row r="19" spans="2:11" ht="25.5">
      <c r="B19" s="398" t="s">
        <v>316</v>
      </c>
      <c r="C19" s="399"/>
      <c r="D19" s="403">
        <f>2957.71+33.64+202</f>
        <v>3193.35</v>
      </c>
      <c r="E19" s="404" t="s">
        <v>317</v>
      </c>
      <c r="F19" s="71"/>
      <c r="G19" s="71"/>
      <c r="H19" s="71"/>
      <c r="I19" s="247"/>
      <c r="J19" s="12"/>
      <c r="K19" s="12"/>
    </row>
    <row r="20" spans="2:11" ht="12.75">
      <c r="B20" s="398" t="s">
        <v>318</v>
      </c>
      <c r="C20" s="399"/>
      <c r="D20" s="403">
        <f>17819.58+7685.54</f>
        <v>25505.120000000003</v>
      </c>
      <c r="E20" s="401" t="s">
        <v>319</v>
      </c>
      <c r="F20" s="71"/>
      <c r="G20" s="71"/>
      <c r="H20" s="71"/>
      <c r="I20" s="247"/>
      <c r="J20" s="12"/>
      <c r="K20" s="12"/>
    </row>
    <row r="21" spans="2:11" ht="38.25">
      <c r="B21" s="398" t="s">
        <v>391</v>
      </c>
      <c r="C21" s="399"/>
      <c r="D21" s="403">
        <f>487.06+417.7+779.95+2062.87+3122.04+284.09+862.74+142.05+563.51+91.14+507.18+2098.78+309.74</f>
        <v>11728.85</v>
      </c>
      <c r="E21" s="405" t="s">
        <v>320</v>
      </c>
      <c r="F21" s="71"/>
      <c r="G21" s="71"/>
      <c r="H21" s="71"/>
      <c r="I21" s="247"/>
      <c r="J21" s="12"/>
      <c r="K21" s="12"/>
    </row>
    <row r="22" spans="2:11" ht="12.75">
      <c r="B22" s="398" t="s">
        <v>321</v>
      </c>
      <c r="C22" s="399"/>
      <c r="D22" s="403">
        <f>7798.77</f>
        <v>7798.77</v>
      </c>
      <c r="E22" s="404" t="s">
        <v>322</v>
      </c>
      <c r="F22" s="71"/>
      <c r="G22" s="71"/>
      <c r="H22" s="71"/>
      <c r="I22" s="247"/>
      <c r="J22" s="12"/>
      <c r="K22" s="12"/>
    </row>
    <row r="23" spans="2:11" ht="12.75">
      <c r="B23" s="398" t="s">
        <v>323</v>
      </c>
      <c r="C23" s="399"/>
      <c r="D23" s="403">
        <v>26175.8</v>
      </c>
      <c r="E23" s="404" t="s">
        <v>324</v>
      </c>
      <c r="F23" s="71"/>
      <c r="G23" s="71"/>
      <c r="H23" s="71"/>
      <c r="I23" s="247"/>
      <c r="J23" s="12"/>
      <c r="K23" s="12"/>
    </row>
    <row r="24" spans="2:11" ht="12.75">
      <c r="B24" s="398" t="s">
        <v>325</v>
      </c>
      <c r="C24" s="399"/>
      <c r="D24" s="403">
        <f>15+30</f>
        <v>45</v>
      </c>
      <c r="E24" s="406" t="s">
        <v>326</v>
      </c>
      <c r="F24" s="71"/>
      <c r="G24" s="71"/>
      <c r="H24" s="12"/>
      <c r="I24" s="247"/>
      <c r="J24" s="12"/>
      <c r="K24" s="12"/>
    </row>
    <row r="25" spans="2:11" ht="12.75">
      <c r="B25" s="398" t="s">
        <v>327</v>
      </c>
      <c r="C25" s="399"/>
      <c r="D25" s="407">
        <v>1751.83</v>
      </c>
      <c r="E25" s="404" t="s">
        <v>324</v>
      </c>
      <c r="F25" s="71"/>
      <c r="G25" s="71"/>
      <c r="H25" s="71"/>
      <c r="I25" s="247"/>
      <c r="J25" s="12"/>
      <c r="K25" s="12"/>
    </row>
    <row r="26" spans="1:11" ht="12.75">
      <c r="A26" s="12"/>
      <c r="B26" s="398"/>
      <c r="C26" s="399"/>
      <c r="D26" s="408"/>
      <c r="E26" s="401"/>
      <c r="F26" s="71"/>
      <c r="G26" s="248"/>
      <c r="H26" s="248"/>
      <c r="I26" s="216"/>
      <c r="J26" s="12"/>
      <c r="K26" s="12"/>
    </row>
    <row r="27" spans="1:11" ht="12.75">
      <c r="A27" s="12"/>
      <c r="B27" s="398" t="s">
        <v>328</v>
      </c>
      <c r="C27" s="399"/>
      <c r="D27" s="408">
        <v>412.96</v>
      </c>
      <c r="E27" s="401" t="s">
        <v>329</v>
      </c>
      <c r="F27" s="12"/>
      <c r="G27" s="70"/>
      <c r="H27" s="71"/>
      <c r="I27" s="12"/>
      <c r="J27" s="12"/>
      <c r="K27" s="12"/>
    </row>
    <row r="28" spans="1:11" ht="12.75">
      <c r="A28" s="12"/>
      <c r="B28" s="398" t="s">
        <v>330</v>
      </c>
      <c r="C28" s="399"/>
      <c r="D28" s="403">
        <f>22.16+3640.22</f>
        <v>3662.3799999999997</v>
      </c>
      <c r="E28" s="404" t="s">
        <v>331</v>
      </c>
      <c r="F28" s="12"/>
      <c r="G28" s="71"/>
      <c r="H28" s="71"/>
      <c r="I28" s="247"/>
      <c r="J28" s="12"/>
      <c r="K28" s="12"/>
    </row>
    <row r="29" spans="1:11" ht="38.25">
      <c r="A29" s="12"/>
      <c r="B29" s="398" t="s">
        <v>332</v>
      </c>
      <c r="C29" s="399"/>
      <c r="D29" s="408">
        <f>1381.4+8757.98</f>
        <v>10139.38</v>
      </c>
      <c r="E29" s="401" t="s">
        <v>333</v>
      </c>
      <c r="F29" s="71"/>
      <c r="G29" s="246"/>
      <c r="H29" s="246"/>
      <c r="I29" s="214"/>
      <c r="J29" s="12"/>
      <c r="K29" s="12"/>
    </row>
    <row r="30" spans="2:11" ht="12.75">
      <c r="B30" s="409" t="s">
        <v>334</v>
      </c>
      <c r="C30" s="410"/>
      <c r="D30" s="411"/>
      <c r="E30" s="412"/>
      <c r="F30" s="71"/>
      <c r="G30" s="256"/>
      <c r="H30" s="71"/>
      <c r="I30" s="214"/>
      <c r="J30" s="12"/>
      <c r="K30" s="12"/>
    </row>
    <row r="31" spans="2:11" ht="12.75">
      <c r="B31" s="413" t="s">
        <v>335</v>
      </c>
      <c r="C31" s="410"/>
      <c r="D31" s="414">
        <f>20258.56+11903.96</f>
        <v>32162.52</v>
      </c>
      <c r="E31" s="415" t="s">
        <v>336</v>
      </c>
      <c r="F31" s="71"/>
      <c r="G31" s="256"/>
      <c r="H31" s="71"/>
      <c r="I31" s="214"/>
      <c r="J31" s="12"/>
      <c r="K31" s="12"/>
    </row>
    <row r="32" spans="2:11" ht="13.5" thickBot="1">
      <c r="B32" s="416"/>
      <c r="C32" s="417"/>
      <c r="D32" s="418"/>
      <c r="E32" s="419"/>
      <c r="F32" s="71"/>
      <c r="G32" s="256"/>
      <c r="H32" s="71"/>
      <c r="I32" s="214"/>
      <c r="J32" s="12"/>
      <c r="K32" s="12"/>
    </row>
    <row r="33" spans="2:11" ht="12.75">
      <c r="B33" s="420" t="s">
        <v>337</v>
      </c>
      <c r="C33" s="421">
        <v>371795</v>
      </c>
      <c r="D33" s="422">
        <f>SUM(D9:D32)</f>
        <v>241411.16999999995</v>
      </c>
      <c r="E33" s="423">
        <f>D33/C33</f>
        <v>0.6493125781680764</v>
      </c>
      <c r="F33" s="71"/>
      <c r="G33" s="256"/>
      <c r="H33" s="71"/>
      <c r="I33" s="214"/>
      <c r="J33" s="12"/>
      <c r="K33" s="12"/>
    </row>
    <row r="34" spans="2:11" ht="13.5" thickBot="1">
      <c r="B34" s="424" t="s">
        <v>338</v>
      </c>
      <c r="C34" s="425">
        <v>0</v>
      </c>
      <c r="D34" s="426">
        <v>102163.51</v>
      </c>
      <c r="E34" s="427"/>
      <c r="F34" s="71"/>
      <c r="G34" s="249"/>
      <c r="H34" s="249"/>
      <c r="I34" s="216"/>
      <c r="J34" s="12"/>
      <c r="K34" s="12"/>
    </row>
    <row r="35" spans="2:11" ht="12.75">
      <c r="B35" s="428" t="s">
        <v>339</v>
      </c>
      <c r="C35" s="429">
        <v>1078070</v>
      </c>
      <c r="D35" s="430">
        <f>295655.6+370670.7+101399.47+112173.1</f>
        <v>879898.87</v>
      </c>
      <c r="E35" s="431">
        <f>D35/C35</f>
        <v>0.8161797193132171</v>
      </c>
      <c r="F35" s="71"/>
      <c r="G35" s="249"/>
      <c r="H35" s="249"/>
      <c r="I35" s="216"/>
      <c r="J35" s="12"/>
      <c r="K35" s="12"/>
    </row>
    <row r="36" spans="2:11" ht="12.75">
      <c r="B36" s="432" t="s">
        <v>340</v>
      </c>
      <c r="C36" s="433"/>
      <c r="D36" s="408"/>
      <c r="E36" s="434"/>
      <c r="F36" s="12"/>
      <c r="G36" s="12"/>
      <c r="H36" s="71"/>
      <c r="I36" s="12"/>
      <c r="J36" s="12"/>
      <c r="K36" s="12"/>
    </row>
    <row r="37" spans="2:11" ht="12.75">
      <c r="B37" s="432" t="s">
        <v>341</v>
      </c>
      <c r="C37" s="433">
        <v>282454.34</v>
      </c>
      <c r="D37" s="407">
        <v>262473.64</v>
      </c>
      <c r="E37" s="435">
        <f>D37/C37</f>
        <v>0.929260424888497</v>
      </c>
      <c r="F37" s="12"/>
      <c r="G37" s="12"/>
      <c r="H37" s="71"/>
      <c r="I37" s="12"/>
      <c r="J37" s="12"/>
      <c r="K37" s="12"/>
    </row>
    <row r="38" spans="2:11" ht="12.75">
      <c r="B38" s="432" t="s">
        <v>342</v>
      </c>
      <c r="C38" s="433"/>
      <c r="D38" s="408"/>
      <c r="E38" s="434"/>
      <c r="F38" s="12"/>
      <c r="G38" s="12"/>
      <c r="H38" s="71"/>
      <c r="I38" s="12"/>
      <c r="J38" s="12"/>
      <c r="K38" s="12"/>
    </row>
    <row r="39" spans="2:11" ht="12.75">
      <c r="B39" s="436" t="s">
        <v>343</v>
      </c>
      <c r="C39" s="437">
        <f>SUM(C35:C38)</f>
        <v>1360524.34</v>
      </c>
      <c r="D39" s="437">
        <f>SUM(D35:D38)</f>
        <v>1142372.51</v>
      </c>
      <c r="E39" s="438">
        <f>D39/C39</f>
        <v>0.8396560623090359</v>
      </c>
      <c r="F39" s="12"/>
      <c r="G39" s="12"/>
      <c r="H39" s="71"/>
      <c r="I39" s="12"/>
      <c r="J39" s="12"/>
      <c r="K39" s="12"/>
    </row>
    <row r="40" spans="2:11" ht="12.75">
      <c r="B40" s="439" t="s">
        <v>344</v>
      </c>
      <c r="C40" s="440">
        <v>73495.13</v>
      </c>
      <c r="D40" s="441">
        <v>0</v>
      </c>
      <c r="E40" s="442">
        <f>D40/C40</f>
        <v>0</v>
      </c>
      <c r="F40" s="12"/>
      <c r="G40" s="12"/>
      <c r="H40" s="71"/>
      <c r="I40" s="12"/>
      <c r="J40" s="12"/>
      <c r="K40" s="12"/>
    </row>
    <row r="41" spans="2:11" ht="12.75">
      <c r="B41" s="439" t="s">
        <v>345</v>
      </c>
      <c r="C41" s="440"/>
      <c r="D41" s="443"/>
      <c r="E41" s="442"/>
      <c r="F41" s="12"/>
      <c r="G41" s="12"/>
      <c r="H41" s="71"/>
      <c r="I41" s="12"/>
      <c r="J41" s="12"/>
      <c r="K41" s="12"/>
    </row>
    <row r="42" spans="2:11" ht="12.75">
      <c r="B42" s="439" t="s">
        <v>346</v>
      </c>
      <c r="C42" s="444">
        <v>136500</v>
      </c>
      <c r="D42" s="445">
        <v>30129</v>
      </c>
      <c r="E42" s="435">
        <f>D42/C42</f>
        <v>0.22072527472527473</v>
      </c>
      <c r="F42" s="12"/>
      <c r="G42" s="318"/>
      <c r="H42" s="71"/>
      <c r="I42" s="12"/>
      <c r="J42" s="12"/>
      <c r="K42" s="12"/>
    </row>
    <row r="43" spans="2:11" ht="25.5">
      <c r="B43" s="446" t="s">
        <v>347</v>
      </c>
      <c r="C43" s="433" t="s">
        <v>348</v>
      </c>
      <c r="D43" s="440" t="s">
        <v>349</v>
      </c>
      <c r="E43" s="447" t="s">
        <v>350</v>
      </c>
      <c r="F43" s="12"/>
      <c r="G43" s="12"/>
      <c r="H43" s="71"/>
      <c r="I43" s="12"/>
      <c r="J43" s="12"/>
      <c r="K43" s="12"/>
    </row>
    <row r="44" spans="2:11" ht="12.75">
      <c r="B44" s="446" t="s">
        <v>351</v>
      </c>
      <c r="C44" s="440">
        <v>25297.02</v>
      </c>
      <c r="D44" s="448">
        <f>5712.1+3198.27+4219.03+2278.28</f>
        <v>15407.680000000002</v>
      </c>
      <c r="E44" s="442">
        <f>D44/C44</f>
        <v>0.6090709498589163</v>
      </c>
      <c r="F44" s="12"/>
      <c r="G44" s="12"/>
      <c r="H44" s="71"/>
      <c r="I44" s="12"/>
      <c r="J44" s="12"/>
      <c r="K44" s="12"/>
    </row>
    <row r="45" spans="2:11" ht="12.75">
      <c r="B45" s="446" t="s">
        <v>352</v>
      </c>
      <c r="C45" s="440">
        <f>C44+C42+C40+C39+C34+C33</f>
        <v>1967611.49</v>
      </c>
      <c r="D45" s="440">
        <f>D44+D42+D40+D39+D34+D33+D41</f>
        <v>1531483.8699999999</v>
      </c>
      <c r="E45" s="442"/>
      <c r="F45" s="12"/>
      <c r="G45" s="12"/>
      <c r="H45" s="71"/>
      <c r="I45" s="12"/>
      <c r="J45" s="12"/>
      <c r="K45" s="12"/>
    </row>
    <row r="46" spans="2:11" ht="12.75">
      <c r="B46" s="432" t="s">
        <v>353</v>
      </c>
      <c r="C46" s="449">
        <f>C45*0.25</f>
        <v>491902.8725</v>
      </c>
      <c r="D46" s="449">
        <f>442997.07+138873.26+331514.57</f>
        <v>913384.9000000001</v>
      </c>
      <c r="E46" s="450"/>
      <c r="F46" s="12"/>
      <c r="G46" s="12"/>
      <c r="H46" s="71"/>
      <c r="I46" s="12"/>
      <c r="J46" s="12"/>
      <c r="K46" s="12"/>
    </row>
    <row r="47" spans="2:8" ht="12.75">
      <c r="B47" s="451" t="s">
        <v>354</v>
      </c>
      <c r="C47" s="452">
        <f>C46+C45</f>
        <v>2459514.3625</v>
      </c>
      <c r="D47" s="452">
        <f>D46+D45</f>
        <v>2444868.77</v>
      </c>
      <c r="E47" s="442"/>
      <c r="H47" s="4"/>
    </row>
    <row r="48" spans="2:8" ht="12.75">
      <c r="B48" s="432" t="s">
        <v>355</v>
      </c>
      <c r="C48" s="433">
        <f>C47*0.1</f>
        <v>245951.43625</v>
      </c>
      <c r="D48" s="433"/>
      <c r="E48" s="453"/>
      <c r="H48" s="4"/>
    </row>
    <row r="49" spans="2:9" ht="25.5">
      <c r="B49" s="439" t="s">
        <v>356</v>
      </c>
      <c r="C49" s="433">
        <f>C48+C47</f>
        <v>2705465.7987499996</v>
      </c>
      <c r="D49" s="433">
        <f>D48+D47</f>
        <v>2444868.77</v>
      </c>
      <c r="E49" s="442">
        <f>D49/C49</f>
        <v>0.9036775741647141</v>
      </c>
      <c r="F49" s="69">
        <f>3203.7-C49</f>
        <v>-2702262.0987499994</v>
      </c>
      <c r="G49" s="178"/>
      <c r="H49" s="178"/>
      <c r="I49" s="63"/>
    </row>
    <row r="50" spans="2:9" ht="13.5" customHeight="1" hidden="1" thickBot="1">
      <c r="B50" s="454" t="s">
        <v>357</v>
      </c>
      <c r="C50" s="455">
        <f>C49/8868.64/12</f>
        <v>25.421652387419787</v>
      </c>
      <c r="D50" s="455">
        <f>D49/8722.45/10</f>
        <v>28.02961060252566</v>
      </c>
      <c r="E50" s="456"/>
      <c r="G50" s="178"/>
      <c r="H50" s="178"/>
      <c r="I50" s="63"/>
    </row>
    <row r="51" spans="2:9" ht="13.5" customHeight="1" hidden="1" thickBot="1">
      <c r="B51" s="457"/>
      <c r="C51" s="458"/>
      <c r="D51" s="458"/>
      <c r="E51" s="459"/>
      <c r="G51" s="178"/>
      <c r="H51" s="178"/>
      <c r="I51" s="63"/>
    </row>
    <row r="52" spans="2:9" ht="13.5" customHeight="1" hidden="1" thickBot="1">
      <c r="B52" s="457" t="s">
        <v>358</v>
      </c>
      <c r="C52" s="458">
        <f>C50*1.18</f>
        <v>29.997549817155345</v>
      </c>
      <c r="D52" s="460">
        <f>D50*1.18</f>
        <v>33.07494051098028</v>
      </c>
      <c r="E52" s="459"/>
      <c r="G52" s="4"/>
      <c r="H52" s="4"/>
      <c r="I52" s="63"/>
    </row>
    <row r="53" spans="1:9" ht="13.5" customHeight="1" hidden="1" thickBot="1">
      <c r="A53" s="80"/>
      <c r="B53" s="457"/>
      <c r="C53" s="458"/>
      <c r="D53" s="458"/>
      <c r="E53" s="459"/>
      <c r="G53" s="4"/>
      <c r="H53" s="4"/>
      <c r="I53" s="63"/>
    </row>
    <row r="54" spans="1:9" ht="13.5" customHeight="1" hidden="1" thickBot="1">
      <c r="A54" s="80"/>
      <c r="B54" s="457"/>
      <c r="C54" s="458"/>
      <c r="D54" s="458"/>
      <c r="E54" s="459"/>
      <c r="F54" s="317"/>
      <c r="G54" s="67">
        <f>SUM(G49:G53)</f>
        <v>0</v>
      </c>
      <c r="H54" s="67">
        <f>SUM(H49:H53)</f>
        <v>0</v>
      </c>
      <c r="I54" s="66"/>
    </row>
    <row r="55" spans="2:5" ht="13.5" customHeight="1" hidden="1" thickBot="1">
      <c r="B55" s="457"/>
      <c r="C55" s="458"/>
      <c r="D55" s="461"/>
      <c r="E55" s="459"/>
    </row>
    <row r="56" spans="2:5" ht="13.5" customHeight="1" hidden="1" thickBot="1">
      <c r="B56" s="462" t="s">
        <v>359</v>
      </c>
      <c r="C56" s="463"/>
      <c r="D56" s="464"/>
      <c r="E56" s="459" t="s">
        <v>360</v>
      </c>
    </row>
    <row r="57" ht="13.5" customHeight="1" hidden="1" thickBot="1"/>
    <row r="58" spans="2:7" ht="13.5" customHeight="1" hidden="1" thickBot="1">
      <c r="B58" s="462" t="s">
        <v>361</v>
      </c>
      <c r="C58" s="463"/>
      <c r="D58" s="464"/>
      <c r="E58" s="459" t="s">
        <v>362</v>
      </c>
      <c r="G58">
        <v>835.5</v>
      </c>
    </row>
    <row r="59" spans="7:9" ht="13.5" customHeight="1" hidden="1" thickBot="1">
      <c r="G59">
        <v>1769.58</v>
      </c>
      <c r="I59" s="63"/>
    </row>
    <row r="60" spans="2:9" ht="13.5" customHeight="1" hidden="1" thickBot="1">
      <c r="B60" s="466" t="s">
        <v>363</v>
      </c>
      <c r="C60" s="464"/>
      <c r="D60" s="464"/>
      <c r="E60" s="459" t="s">
        <v>4</v>
      </c>
      <c r="G60">
        <v>53.26</v>
      </c>
      <c r="I60" s="63"/>
    </row>
    <row r="61" spans="3:9" ht="13.5" customHeight="1" hidden="1" thickBot="1">
      <c r="C61" s="467"/>
      <c r="D61" s="468"/>
      <c r="E61"/>
      <c r="G61">
        <v>128.77</v>
      </c>
      <c r="I61" s="63"/>
    </row>
    <row r="62" spans="3:5" ht="13.5" customHeight="1" hidden="1" thickBot="1">
      <c r="C62" s="467"/>
      <c r="D62" s="468"/>
      <c r="E62"/>
    </row>
    <row r="63" spans="3:5" ht="13.5" customHeight="1" hidden="1" thickBot="1">
      <c r="C63" s="467"/>
      <c r="D63" s="468"/>
      <c r="E63"/>
    </row>
    <row r="64" spans="3:5" ht="13.5" customHeight="1" hidden="1" thickBot="1">
      <c r="C64" s="467"/>
      <c r="D64" s="468"/>
      <c r="E64"/>
    </row>
    <row r="65" spans="3:9" ht="13.5" customHeight="1" hidden="1" thickBot="1">
      <c r="C65" s="467"/>
      <c r="D65" s="468"/>
      <c r="E65"/>
      <c r="H65" s="69"/>
      <c r="I65" s="63"/>
    </row>
    <row r="66" spans="3:9" ht="12.75">
      <c r="C66" s="467"/>
      <c r="D66" s="468"/>
      <c r="E66"/>
      <c r="F66" s="69"/>
      <c r="G66">
        <v>774.6</v>
      </c>
      <c r="H66" s="69" t="s">
        <v>238</v>
      </c>
      <c r="I66" s="63"/>
    </row>
    <row r="67" spans="3:9" ht="12.75">
      <c r="C67" s="467"/>
      <c r="D67" s="468"/>
      <c r="E67"/>
      <c r="H67" t="s">
        <v>240</v>
      </c>
      <c r="I67" s="63"/>
    </row>
    <row r="68" spans="3:9" ht="12.75">
      <c r="C68" s="467"/>
      <c r="D68" s="468"/>
      <c r="E68"/>
      <c r="H68" t="s">
        <v>239</v>
      </c>
      <c r="I68" s="63"/>
    </row>
    <row r="69" spans="3:8" ht="12.75">
      <c r="C69" s="467"/>
      <c r="D69" s="468"/>
      <c r="E69"/>
      <c r="H69" t="s">
        <v>241</v>
      </c>
    </row>
    <row r="70" spans="3:9" ht="12.75">
      <c r="C70" s="467"/>
      <c r="D70" s="468"/>
      <c r="E70"/>
      <c r="F70" s="317"/>
      <c r="G70" s="68">
        <f>SUM(G65:G69)+333.4</f>
        <v>1108</v>
      </c>
      <c r="H70" s="311">
        <f>759.7</f>
        <v>759.7</v>
      </c>
      <c r="I70" s="14"/>
    </row>
    <row r="71" spans="1:9" ht="12.75">
      <c r="A71" s="15"/>
      <c r="B71" s="15" t="s">
        <v>445</v>
      </c>
      <c r="C71" s="469"/>
      <c r="D71" s="470"/>
      <c r="E71" s="15"/>
      <c r="F71" s="71"/>
      <c r="G71" s="70"/>
      <c r="H71" s="375"/>
      <c r="I71" s="12"/>
    </row>
    <row r="72" spans="1:6" ht="12.75">
      <c r="A72" s="15"/>
      <c r="B72" s="15"/>
      <c r="C72" s="469"/>
      <c r="D72" s="470"/>
      <c r="E72" s="15"/>
      <c r="F72" s="15"/>
    </row>
    <row r="73" spans="3:8" ht="12.75">
      <c r="C73" s="543" t="s">
        <v>447</v>
      </c>
      <c r="D73" s="544" t="s">
        <v>448</v>
      </c>
      <c r="E73"/>
      <c r="F73" s="15"/>
      <c r="G73" s="79">
        <f>G70+G54+G34+G26</f>
        <v>1108</v>
      </c>
      <c r="H73" s="79" t="e">
        <f>H70+#REF!+H54+H34+H26</f>
        <v>#REF!</v>
      </c>
    </row>
    <row r="74" spans="3:8" ht="12.75">
      <c r="C74" s="467"/>
      <c r="D74" s="468"/>
      <c r="E74"/>
      <c r="F74" s="15"/>
      <c r="G74" s="79"/>
      <c r="H74" s="79"/>
    </row>
    <row r="75" spans="2:8" ht="12.75">
      <c r="B75" t="s">
        <v>446</v>
      </c>
      <c r="C75" s="465">
        <v>383026</v>
      </c>
      <c r="D75" s="465">
        <v>804575</v>
      </c>
      <c r="E75"/>
      <c r="F75" s="15"/>
      <c r="G75" s="79"/>
      <c r="H75" s="79"/>
    </row>
    <row r="76" spans="2:8" ht="12.75">
      <c r="B76" t="s">
        <v>449</v>
      </c>
      <c r="C76" s="468"/>
      <c r="D76" s="468"/>
      <c r="E76"/>
      <c r="F76" s="15"/>
      <c r="G76" s="79" t="e">
        <f>G73+#REF!</f>
        <v>#REF!</v>
      </c>
      <c r="H76" t="s">
        <v>30</v>
      </c>
    </row>
    <row r="77" spans="3:8" ht="12.75" customHeight="1" hidden="1">
      <c r="C77" s="468"/>
      <c r="D77" s="468"/>
      <c r="E77"/>
      <c r="F77" s="15"/>
      <c r="H77" s="69" t="e">
        <f>H70+#REF!+H34+H26</f>
        <v>#REF!</v>
      </c>
    </row>
    <row r="78" spans="3:7" ht="12.75" customHeight="1" hidden="1">
      <c r="C78" s="468"/>
      <c r="D78" s="468"/>
      <c r="E78"/>
      <c r="G78" t="s">
        <v>4</v>
      </c>
    </row>
    <row r="79" spans="3:5" ht="12.75" customHeight="1" hidden="1">
      <c r="C79" s="468"/>
      <c r="D79" s="468"/>
      <c r="E79"/>
    </row>
    <row r="80" spans="3:5" ht="13.5" customHeight="1" hidden="1" thickBot="1">
      <c r="C80" s="468"/>
      <c r="D80" s="468"/>
      <c r="E80"/>
    </row>
    <row r="81" spans="3:5" ht="12.75">
      <c r="C81" s="468"/>
      <c r="D81" s="468"/>
      <c r="E81"/>
    </row>
    <row r="82" spans="2:5" ht="12.75">
      <c r="B82" t="s">
        <v>450</v>
      </c>
      <c r="C82" s="465">
        <v>727162</v>
      </c>
      <c r="D82" s="465">
        <v>2113276</v>
      </c>
      <c r="E82"/>
    </row>
    <row r="83" spans="2:5" ht="12.75">
      <c r="B83" t="s">
        <v>451</v>
      </c>
      <c r="C83" s="540"/>
      <c r="E83"/>
    </row>
    <row r="84" spans="3:9" ht="12.75">
      <c r="C84" s="540"/>
      <c r="E84"/>
      <c r="G84">
        <v>53.26</v>
      </c>
      <c r="I84" s="63"/>
    </row>
    <row r="85" spans="2:9" ht="12.75">
      <c r="B85" t="s">
        <v>452</v>
      </c>
      <c r="C85" s="465">
        <v>152197</v>
      </c>
      <c r="D85" s="465">
        <v>328224</v>
      </c>
      <c r="E85"/>
      <c r="G85">
        <v>128.77</v>
      </c>
      <c r="I85" s="63"/>
    </row>
    <row r="86" spans="1:5" ht="12.75">
      <c r="A86" s="15"/>
      <c r="B86" s="269" t="s">
        <v>453</v>
      </c>
      <c r="C86" s="541"/>
      <c r="D86" s="542"/>
      <c r="E86" s="15"/>
    </row>
    <row r="87" spans="3:5" ht="12.75">
      <c r="C87" s="467"/>
      <c r="D87" s="468"/>
      <c r="E87"/>
    </row>
    <row r="88" spans="3:5" ht="12.75">
      <c r="C88" s="467"/>
      <c r="D88" s="468"/>
      <c r="E88"/>
    </row>
    <row r="89" spans="2:5" ht="12.75">
      <c r="B89" t="s">
        <v>0</v>
      </c>
      <c r="C89" s="467" t="s">
        <v>4</v>
      </c>
      <c r="D89" s="468"/>
      <c r="E89"/>
    </row>
    <row r="90" spans="3:5" ht="12.75">
      <c r="C90" s="467"/>
      <c r="D90" s="468"/>
      <c r="E90"/>
    </row>
    <row r="91" spans="3:5" ht="12.75">
      <c r="C91" s="467"/>
      <c r="D91" s="468"/>
      <c r="E91"/>
    </row>
    <row r="92" spans="3:5" ht="12.75">
      <c r="C92" s="467"/>
      <c r="D92" s="468"/>
      <c r="E92"/>
    </row>
    <row r="93" spans="3:5" ht="12.75">
      <c r="C93" s="467"/>
      <c r="D93" s="468"/>
      <c r="E93"/>
    </row>
    <row r="94" spans="3:5" ht="12.75">
      <c r="C94" s="467"/>
      <c r="D94" s="468"/>
      <c r="E94"/>
    </row>
    <row r="95" spans="3:5" ht="12.75">
      <c r="C95" s="467"/>
      <c r="D95" s="468"/>
      <c r="E95"/>
    </row>
    <row r="96" spans="3:5" ht="12.75">
      <c r="C96" s="467"/>
      <c r="D96" s="468"/>
      <c r="E96"/>
    </row>
    <row r="97" spans="3:5" ht="12.75">
      <c r="C97" s="467"/>
      <c r="D97" s="468"/>
      <c r="E97"/>
    </row>
    <row r="98" spans="3:5" ht="12.75">
      <c r="C98" s="467"/>
      <c r="D98" s="468"/>
      <c r="E98"/>
    </row>
    <row r="99" spans="3:5" ht="12.75">
      <c r="C99" s="467"/>
      <c r="D99" s="468"/>
      <c r="E99"/>
    </row>
    <row r="100" spans="3:5" ht="12.75">
      <c r="C100" s="467"/>
      <c r="D100" s="468"/>
      <c r="E100"/>
    </row>
    <row r="101" spans="1:5" ht="12.75">
      <c r="A101" s="15"/>
      <c r="B101" s="15" t="s">
        <v>454</v>
      </c>
      <c r="C101" s="469"/>
      <c r="D101" s="470"/>
      <c r="E101"/>
    </row>
    <row r="102" spans="1:5" ht="12.75">
      <c r="A102" s="15"/>
      <c r="B102" s="15"/>
      <c r="C102" s="469"/>
      <c r="D102" s="470"/>
      <c r="E102"/>
    </row>
    <row r="103" spans="3:5" ht="12.75">
      <c r="C103" s="543" t="s">
        <v>447</v>
      </c>
      <c r="D103" s="544" t="s">
        <v>448</v>
      </c>
      <c r="E103"/>
    </row>
    <row r="104" spans="3:5" ht="12.75">
      <c r="C104" s="467"/>
      <c r="D104" s="468"/>
      <c r="E104"/>
    </row>
    <row r="105" spans="2:5" ht="12.75">
      <c r="B105" t="s">
        <v>446</v>
      </c>
      <c r="C105" s="465">
        <v>400000</v>
      </c>
      <c r="D105" s="465">
        <v>900000</v>
      </c>
      <c r="E105"/>
    </row>
    <row r="106" spans="3:5" ht="12.75">
      <c r="C106" s="468"/>
      <c r="D106" s="468"/>
      <c r="E106"/>
    </row>
    <row r="107" spans="3:5" ht="12.75">
      <c r="C107" s="468"/>
      <c r="D107" s="468"/>
      <c r="E107"/>
    </row>
    <row r="108" spans="3:5" ht="12.75">
      <c r="C108" s="468"/>
      <c r="D108" s="468"/>
      <c r="E108"/>
    </row>
    <row r="109" spans="3:5" ht="12.75">
      <c r="C109" s="468"/>
      <c r="D109" s="468"/>
      <c r="E109"/>
    </row>
    <row r="110" spans="3:5" ht="12.75">
      <c r="C110" s="468"/>
      <c r="D110" s="468"/>
      <c r="E110"/>
    </row>
    <row r="111" spans="3:5" ht="12.75">
      <c r="C111" s="468"/>
      <c r="D111" s="468"/>
      <c r="E111"/>
    </row>
    <row r="112" spans="2:5" ht="12.75">
      <c r="B112" t="s">
        <v>450</v>
      </c>
      <c r="C112" s="465">
        <v>500000</v>
      </c>
      <c r="D112" s="465">
        <v>2000000</v>
      </c>
      <c r="E112"/>
    </row>
    <row r="113" spans="3:5" ht="12.75">
      <c r="C113" s="540"/>
      <c r="E113"/>
    </row>
    <row r="114" spans="3:5" ht="12.75">
      <c r="C114" s="540"/>
      <c r="E114"/>
    </row>
    <row r="115" spans="2:5" ht="12.75">
      <c r="B115" t="s">
        <v>452</v>
      </c>
      <c r="C115" s="465">
        <v>150000</v>
      </c>
      <c r="D115" s="465">
        <v>350000</v>
      </c>
      <c r="E115"/>
    </row>
    <row r="116" spans="1:5" ht="12.75">
      <c r="A116" s="15"/>
      <c r="B116" s="269"/>
      <c r="C116" s="541"/>
      <c r="D116" s="542"/>
      <c r="E116"/>
    </row>
    <row r="117" spans="3:5" ht="12.75">
      <c r="C117" s="467"/>
      <c r="D117" s="468"/>
      <c r="E117"/>
    </row>
    <row r="118" spans="3:5" ht="12.75">
      <c r="C118" s="467"/>
      <c r="D118" s="468"/>
      <c r="E118"/>
    </row>
    <row r="119" spans="2:5" ht="12.75">
      <c r="B119" t="s">
        <v>0</v>
      </c>
      <c r="C119" s="467" t="s">
        <v>4</v>
      </c>
      <c r="D119" s="468"/>
      <c r="E119"/>
    </row>
    <row r="120" spans="3:5" ht="12.75">
      <c r="C120" s="467"/>
      <c r="D120" s="468"/>
      <c r="E120"/>
    </row>
    <row r="121" spans="3:5" ht="12.75">
      <c r="C121" s="467"/>
      <c r="D121" s="468"/>
      <c r="E121"/>
    </row>
    <row r="122" spans="3:5" ht="12.75">
      <c r="C122" s="467"/>
      <c r="D122" s="468"/>
      <c r="E122"/>
    </row>
    <row r="123" spans="3:5" ht="12.75">
      <c r="C123" s="467"/>
      <c r="D123" s="468"/>
      <c r="E123"/>
    </row>
    <row r="124" spans="3:5" ht="12.75">
      <c r="C124" s="467"/>
      <c r="D124" s="468"/>
      <c r="E124"/>
    </row>
    <row r="125" spans="3:5" ht="12.75">
      <c r="C125" s="467"/>
      <c r="D125" s="468"/>
      <c r="E125"/>
    </row>
    <row r="126" spans="3:5" ht="12.75">
      <c r="C126" s="467"/>
      <c r="D126" s="468"/>
      <c r="E126"/>
    </row>
    <row r="127" spans="3:5" ht="12.75">
      <c r="C127" s="467"/>
      <c r="D127" s="468"/>
      <c r="E127"/>
    </row>
    <row r="128" spans="3:5" ht="12.75">
      <c r="C128" s="467"/>
      <c r="D128" s="468"/>
      <c r="E128"/>
    </row>
    <row r="129" spans="3:5" ht="12.75">
      <c r="C129" s="467"/>
      <c r="D129" s="468"/>
      <c r="E129"/>
    </row>
    <row r="130" spans="3:5" ht="12.75">
      <c r="C130" s="467"/>
      <c r="D130" s="468"/>
      <c r="E130"/>
    </row>
    <row r="131" spans="3:5" ht="12.75">
      <c r="C131" s="467"/>
      <c r="D131" s="468"/>
      <c r="E131"/>
    </row>
    <row r="132" spans="3:5" ht="12.75">
      <c r="C132" s="467"/>
      <c r="D132" s="468"/>
      <c r="E132"/>
    </row>
    <row r="133" spans="3:5" ht="12.75">
      <c r="C133" s="467"/>
      <c r="D133" s="468"/>
      <c r="E133"/>
    </row>
    <row r="134" spans="3:5" ht="12.75">
      <c r="C134" s="467"/>
      <c r="D134" s="468"/>
      <c r="E134"/>
    </row>
    <row r="135" spans="3:5" ht="12.75">
      <c r="C135" s="467"/>
      <c r="D135" s="468"/>
      <c r="E135"/>
    </row>
    <row r="136" spans="3:5" ht="12.75">
      <c r="C136" s="467"/>
      <c r="D136" s="468"/>
      <c r="E136"/>
    </row>
    <row r="137" spans="3:5" ht="12.75">
      <c r="C137" s="467"/>
      <c r="D137" s="468"/>
      <c r="E137"/>
    </row>
    <row r="138" spans="3:5" ht="12.75">
      <c r="C138" s="467"/>
      <c r="D138" s="468"/>
      <c r="E138"/>
    </row>
    <row r="139" spans="3:5" ht="12.75">
      <c r="C139" s="467"/>
      <c r="D139" s="468"/>
      <c r="E139"/>
    </row>
    <row r="140" spans="3:5" ht="12.75">
      <c r="C140" s="467"/>
      <c r="D140" s="468"/>
      <c r="E140"/>
    </row>
    <row r="141" spans="3:5" ht="12.75">
      <c r="C141" s="467"/>
      <c r="D141" s="468"/>
      <c r="E141"/>
    </row>
    <row r="142" spans="3:5" ht="12.75">
      <c r="C142" s="467"/>
      <c r="D142" s="468"/>
      <c r="E142"/>
    </row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209" ht="12.75" customHeight="1" hidden="1"/>
    <row r="210" ht="12.75" customHeight="1" hidden="1"/>
    <row r="211" ht="12.75" customHeight="1" hidden="1"/>
    <row r="258" ht="12.75" customHeight="1" hidden="1"/>
    <row r="269" ht="12.75" customHeight="1" hidden="1"/>
    <row r="278" ht="12.75" customHeight="1" hidden="1"/>
    <row r="282" ht="12.75" customHeight="1" hidden="1"/>
    <row r="291" ht="12.75" customHeight="1" hidden="1"/>
    <row r="299" ht="12.75" customHeight="1" hidden="1"/>
    <row r="309" ht="12.75" customHeight="1" hidden="1"/>
    <row r="310" ht="12.75" customHeight="1" hidden="1"/>
    <row r="311" ht="12.75" customHeight="1" hidden="1"/>
  </sheetData>
  <sheetProtection/>
  <mergeCells count="1">
    <mergeCell ref="B6:E6"/>
  </mergeCells>
  <printOptions/>
  <pageMargins left="0.96" right="0.23" top="0.66" bottom="0.43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193"/>
  <sheetViews>
    <sheetView zoomScalePageLayoutView="0" workbookViewId="0" topLeftCell="A1">
      <selection activeCell="A35" sqref="A35:F67"/>
    </sheetView>
  </sheetViews>
  <sheetFormatPr defaultColWidth="9.140625" defaultRowHeight="12.75"/>
  <cols>
    <col min="1" max="1" width="23.140625" style="0" customWidth="1"/>
    <col min="2" max="2" width="18.57421875" style="0" customWidth="1"/>
    <col min="3" max="4" width="18.7109375" style="0" customWidth="1"/>
    <col min="5" max="6" width="20.7109375" style="0" customWidth="1"/>
    <col min="9" max="9" width="11.28125" style="0" bestFit="1" customWidth="1"/>
    <col min="12" max="12" width="20.421875" style="0" customWidth="1"/>
    <col min="13" max="13" width="7.7109375" style="0" customWidth="1"/>
    <col min="14" max="14" width="10.140625" style="0" customWidth="1"/>
    <col min="15" max="15" width="13.8515625" style="0" customWidth="1"/>
    <col min="16" max="16" width="16.140625" style="0" customWidth="1"/>
    <col min="17" max="17" width="13.8515625" style="0" customWidth="1"/>
    <col min="18" max="18" width="10.28125" style="0" customWidth="1"/>
  </cols>
  <sheetData>
    <row r="2" spans="1:11" ht="15">
      <c r="A2" s="1"/>
      <c r="B2" s="136" t="s">
        <v>94</v>
      </c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36"/>
      <c r="C3" s="1"/>
      <c r="D3" s="1"/>
      <c r="E3" s="1"/>
      <c r="F3" s="1"/>
      <c r="G3" s="1"/>
      <c r="H3" s="1"/>
      <c r="I3" s="1"/>
      <c r="J3" s="1"/>
      <c r="K3" s="1"/>
    </row>
    <row r="4" spans="1:23" ht="14.25">
      <c r="A4" s="137"/>
      <c r="B4" s="138"/>
      <c r="C4" s="139"/>
      <c r="D4" s="139"/>
      <c r="E4" s="140"/>
      <c r="F4" s="138"/>
      <c r="G4" s="1"/>
      <c r="H4" s="1"/>
      <c r="I4" s="41"/>
      <c r="J4" s="41"/>
      <c r="K4" s="4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15">
      <c r="A5" s="141" t="s">
        <v>56</v>
      </c>
      <c r="B5" s="142"/>
      <c r="C5" s="579" t="s">
        <v>55</v>
      </c>
      <c r="D5" s="579"/>
      <c r="E5" s="580" t="s">
        <v>63</v>
      </c>
      <c r="F5" s="617"/>
      <c r="G5" s="1"/>
      <c r="H5" s="1"/>
      <c r="I5" s="41"/>
      <c r="J5" s="41"/>
      <c r="K5" s="41"/>
      <c r="L5" s="43"/>
      <c r="M5" s="43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ht="14.25">
      <c r="A6" s="143"/>
      <c r="B6" s="142"/>
      <c r="C6" s="144"/>
      <c r="D6" s="144"/>
      <c r="E6" s="145"/>
      <c r="F6" s="146"/>
      <c r="G6" s="1"/>
      <c r="H6" s="1"/>
      <c r="I6" s="41"/>
      <c r="J6" s="41"/>
      <c r="K6" s="41"/>
      <c r="L6" s="42"/>
      <c r="M6" s="42"/>
      <c r="N6" s="43"/>
      <c r="O6" s="42"/>
      <c r="P6" s="42"/>
      <c r="Q6" s="42"/>
      <c r="R6" s="42"/>
      <c r="S6" s="42"/>
      <c r="T6" s="42"/>
      <c r="U6" s="42"/>
      <c r="V6" s="42"/>
      <c r="W6" s="42"/>
    </row>
    <row r="7" spans="1:23" ht="14.25">
      <c r="A7" s="143"/>
      <c r="B7" s="142"/>
      <c r="C7" s="147"/>
      <c r="D7" s="148"/>
      <c r="E7" s="140"/>
      <c r="F7" s="137"/>
      <c r="G7" s="1"/>
      <c r="H7" s="1"/>
      <c r="I7" s="41"/>
      <c r="J7" s="41"/>
      <c r="K7" s="41"/>
      <c r="L7" s="42"/>
      <c r="M7" s="42"/>
      <c r="N7" s="43"/>
      <c r="O7" s="42"/>
      <c r="P7" s="42"/>
      <c r="Q7" s="42"/>
      <c r="R7" s="42"/>
      <c r="S7" s="42"/>
      <c r="T7" s="42"/>
      <c r="U7" s="42"/>
      <c r="V7" s="42"/>
      <c r="W7" s="42"/>
    </row>
    <row r="8" spans="1:23" ht="15">
      <c r="A8" s="149"/>
      <c r="B8" s="146"/>
      <c r="C8" s="150" t="s">
        <v>52</v>
      </c>
      <c r="D8" s="151" t="s">
        <v>53</v>
      </c>
      <c r="E8" s="152" t="s">
        <v>52</v>
      </c>
      <c r="F8" s="151" t="s">
        <v>53</v>
      </c>
      <c r="G8" s="1"/>
      <c r="H8" s="1"/>
      <c r="I8" s="41"/>
      <c r="J8" s="41"/>
      <c r="K8" s="41"/>
      <c r="L8" s="42"/>
      <c r="M8" s="42"/>
      <c r="N8" s="43"/>
      <c r="O8" s="42"/>
      <c r="P8" s="42"/>
      <c r="Q8" s="42"/>
      <c r="R8" s="42"/>
      <c r="S8" s="42"/>
      <c r="T8" s="42"/>
      <c r="U8" s="42"/>
      <c r="V8" s="42"/>
      <c r="W8" s="42"/>
    </row>
    <row r="9" spans="1:23" ht="14.25">
      <c r="A9" s="140"/>
      <c r="B9" s="137"/>
      <c r="C9" s="139"/>
      <c r="D9" s="137"/>
      <c r="E9" s="139"/>
      <c r="F9" s="137"/>
      <c r="G9" s="1"/>
      <c r="H9" s="1"/>
      <c r="I9" s="41"/>
      <c r="J9" s="41"/>
      <c r="K9" s="41"/>
      <c r="L9" s="42"/>
      <c r="M9" s="42"/>
      <c r="N9" s="43"/>
      <c r="O9" s="42"/>
      <c r="P9" s="42"/>
      <c r="Q9" s="42"/>
      <c r="R9" s="42"/>
      <c r="S9" s="42"/>
      <c r="T9" s="42"/>
      <c r="U9" s="42"/>
      <c r="V9" s="42"/>
      <c r="W9" s="42"/>
    </row>
    <row r="10" spans="1:23" ht="15">
      <c r="A10" s="153" t="s">
        <v>2</v>
      </c>
      <c r="B10" s="141" t="s">
        <v>64</v>
      </c>
      <c r="C10" s="182">
        <v>1.57</v>
      </c>
      <c r="D10" s="183">
        <v>1.85</v>
      </c>
      <c r="E10" s="182">
        <v>14.6</v>
      </c>
      <c r="F10" s="183">
        <f>E10*1.18</f>
        <v>17.227999999999998</v>
      </c>
      <c r="G10" s="1"/>
      <c r="H10" s="1"/>
      <c r="I10" s="41"/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5">
      <c r="A11" s="153"/>
      <c r="B11" s="141"/>
      <c r="C11" s="182"/>
      <c r="D11" s="183"/>
      <c r="E11" s="182"/>
      <c r="F11" s="183"/>
      <c r="G11" s="1"/>
      <c r="H11" s="1"/>
      <c r="I11" s="41"/>
      <c r="J11" s="41"/>
      <c r="K11" s="4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15">
      <c r="A12" s="140"/>
      <c r="B12" s="156"/>
      <c r="C12" s="184"/>
      <c r="D12" s="185"/>
      <c r="E12" s="184"/>
      <c r="F12" s="185"/>
      <c r="G12" s="1"/>
      <c r="H12" s="1"/>
      <c r="I12" s="41"/>
      <c r="J12" s="41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15">
      <c r="A13" s="153" t="s">
        <v>69</v>
      </c>
      <c r="B13" s="141" t="s">
        <v>58</v>
      </c>
      <c r="C13" s="182">
        <v>508.48</v>
      </c>
      <c r="D13" s="183">
        <v>600</v>
      </c>
      <c r="E13" s="182">
        <v>7538</v>
      </c>
      <c r="F13" s="183">
        <f>E13*1.18</f>
        <v>8894.84</v>
      </c>
      <c r="G13" s="1"/>
      <c r="H13" s="1"/>
      <c r="I13" s="41"/>
      <c r="J13" s="41"/>
      <c r="K13" s="41"/>
      <c r="L13" s="24"/>
      <c r="M13" s="24"/>
      <c r="N13" s="44"/>
      <c r="O13" s="24"/>
      <c r="P13" s="24"/>
      <c r="Q13" s="24"/>
      <c r="R13" s="43"/>
      <c r="S13" s="42"/>
      <c r="T13" s="42"/>
      <c r="U13" s="42"/>
      <c r="V13" s="42"/>
      <c r="W13" s="42"/>
    </row>
    <row r="14" spans="1:23" ht="15">
      <c r="A14" s="153"/>
      <c r="B14" s="141"/>
      <c r="C14" s="182"/>
      <c r="D14" s="183"/>
      <c r="E14" s="182"/>
      <c r="F14" s="183"/>
      <c r="G14" s="1"/>
      <c r="H14" s="1"/>
      <c r="I14" s="41"/>
      <c r="J14" s="41"/>
      <c r="K14" s="41"/>
      <c r="L14" s="43"/>
      <c r="M14" s="43"/>
      <c r="N14" s="43"/>
      <c r="O14" s="43"/>
      <c r="P14" s="24"/>
      <c r="Q14" s="24"/>
      <c r="R14" s="24"/>
      <c r="S14" s="42"/>
      <c r="T14" s="42"/>
      <c r="U14" s="42"/>
      <c r="V14" s="42"/>
      <c r="W14" s="42"/>
    </row>
    <row r="15" spans="1:23" ht="15">
      <c r="A15" s="153"/>
      <c r="B15" s="141" t="s">
        <v>57</v>
      </c>
      <c r="C15" s="182">
        <v>20.34</v>
      </c>
      <c r="D15" s="183">
        <f>20.34*1.18</f>
        <v>24.001199999999997</v>
      </c>
      <c r="E15" s="182" t="s">
        <v>5</v>
      </c>
      <c r="F15" s="183" t="s">
        <v>5</v>
      </c>
      <c r="G15" s="1"/>
      <c r="H15" s="1"/>
      <c r="I15" s="41"/>
      <c r="J15" s="41"/>
      <c r="K15" s="41"/>
      <c r="L15" s="42"/>
      <c r="M15" s="42"/>
      <c r="N15" s="24"/>
      <c r="O15" s="24"/>
      <c r="P15" s="24"/>
      <c r="Q15" s="24"/>
      <c r="R15" s="43"/>
      <c r="S15" s="42"/>
      <c r="T15" s="42"/>
      <c r="U15" s="42"/>
      <c r="V15" s="42"/>
      <c r="W15" s="42"/>
    </row>
    <row r="16" spans="1:23" ht="15">
      <c r="A16" s="140"/>
      <c r="B16" s="156"/>
      <c r="C16" s="184"/>
      <c r="D16" s="185"/>
      <c r="E16" s="184"/>
      <c r="F16" s="185"/>
      <c r="G16" s="1"/>
      <c r="H16" s="1"/>
      <c r="I16" s="41"/>
      <c r="J16" s="41"/>
      <c r="K16" s="41"/>
      <c r="L16" s="43"/>
      <c r="M16" s="43"/>
      <c r="N16" s="24"/>
      <c r="O16" s="40"/>
      <c r="P16" s="259"/>
      <c r="Q16" s="40"/>
      <c r="R16" s="242"/>
      <c r="S16" s="42"/>
      <c r="T16" s="42"/>
      <c r="U16" s="42"/>
      <c r="V16" s="42"/>
      <c r="W16" s="42"/>
    </row>
    <row r="17" spans="1:23" ht="15">
      <c r="A17" s="153" t="s">
        <v>16</v>
      </c>
      <c r="B17" s="141" t="s">
        <v>65</v>
      </c>
      <c r="C17" s="182">
        <v>60.68</v>
      </c>
      <c r="D17" s="183">
        <v>71.6</v>
      </c>
      <c r="E17" s="182">
        <v>429</v>
      </c>
      <c r="F17" s="183">
        <f>E17*1.18</f>
        <v>506.21999999999997</v>
      </c>
      <c r="G17" s="1"/>
      <c r="H17" s="1"/>
      <c r="I17" s="41"/>
      <c r="J17" s="41"/>
      <c r="K17" s="41"/>
      <c r="L17" s="39"/>
      <c r="M17" s="43"/>
      <c r="N17" s="24"/>
      <c r="O17" s="45"/>
      <c r="P17" s="164"/>
      <c r="Q17" s="46"/>
      <c r="R17" s="243"/>
      <c r="S17" s="42"/>
      <c r="T17" s="42"/>
      <c r="U17" s="42"/>
      <c r="V17" s="42"/>
      <c r="W17" s="42"/>
    </row>
    <row r="18" spans="1:23" ht="15">
      <c r="A18" s="153"/>
      <c r="B18" s="159"/>
      <c r="C18" s="182"/>
      <c r="D18" s="183"/>
      <c r="E18" s="182"/>
      <c r="F18" s="183"/>
      <c r="G18" s="1"/>
      <c r="H18" s="1"/>
      <c r="I18" s="47"/>
      <c r="J18" s="41"/>
      <c r="K18" s="41"/>
      <c r="L18" s="43"/>
      <c r="M18" s="24"/>
      <c r="N18" s="40"/>
      <c r="O18" s="40"/>
      <c r="P18" s="260"/>
      <c r="Q18" s="24"/>
      <c r="R18" s="242"/>
      <c r="S18" s="42"/>
      <c r="T18" s="42"/>
      <c r="U18" s="42"/>
      <c r="V18" s="42"/>
      <c r="W18" s="42"/>
    </row>
    <row r="19" spans="1:23" ht="15">
      <c r="A19" s="153"/>
      <c r="B19" s="160" t="s">
        <v>54</v>
      </c>
      <c r="C19" s="182">
        <f>C17*3.8</f>
        <v>230.58399999999997</v>
      </c>
      <c r="D19" s="183">
        <f>D17*3.8</f>
        <v>272.08</v>
      </c>
      <c r="E19" s="182" t="s">
        <v>5</v>
      </c>
      <c r="F19" s="183" t="s">
        <v>5</v>
      </c>
      <c r="G19" s="1"/>
      <c r="H19" s="1"/>
      <c r="I19" s="47"/>
      <c r="J19" s="41"/>
      <c r="K19" s="41"/>
      <c r="L19" s="39"/>
      <c r="M19" s="24"/>
      <c r="N19" s="24"/>
      <c r="O19" s="45"/>
      <c r="P19" s="261"/>
      <c r="Q19" s="45"/>
      <c r="R19" s="243"/>
      <c r="S19" s="42"/>
      <c r="T19" s="42"/>
      <c r="U19" s="42"/>
      <c r="V19" s="42"/>
      <c r="W19" s="42"/>
    </row>
    <row r="20" spans="1:23" ht="15">
      <c r="A20" s="140"/>
      <c r="B20" s="156"/>
      <c r="C20" s="186"/>
      <c r="D20" s="187"/>
      <c r="E20" s="620" t="s">
        <v>60</v>
      </c>
      <c r="F20" s="621"/>
      <c r="G20" s="1"/>
      <c r="H20" s="1"/>
      <c r="I20" s="41"/>
      <c r="J20" s="41"/>
      <c r="K20" s="41"/>
      <c r="L20" s="39"/>
      <c r="M20" s="24"/>
      <c r="N20" s="24"/>
      <c r="O20" s="45"/>
      <c r="P20" s="164"/>
      <c r="Q20" s="46"/>
      <c r="R20" s="243"/>
      <c r="S20" s="48"/>
      <c r="T20" s="42"/>
      <c r="U20" s="42"/>
      <c r="V20" s="42"/>
      <c r="W20" s="42"/>
    </row>
    <row r="21" spans="1:23" ht="15">
      <c r="A21" s="153" t="s">
        <v>17</v>
      </c>
      <c r="B21" s="141" t="s">
        <v>65</v>
      </c>
      <c r="C21" s="182">
        <v>269.08</v>
      </c>
      <c r="D21" s="183">
        <v>317.51</v>
      </c>
      <c r="E21" s="182">
        <v>690.85</v>
      </c>
      <c r="F21" s="183">
        <f>1.18*E21</f>
        <v>815.203</v>
      </c>
      <c r="G21" s="1"/>
      <c r="H21" s="1"/>
      <c r="I21" s="49"/>
      <c r="J21" s="41"/>
      <c r="K21" s="41"/>
      <c r="L21" s="43"/>
      <c r="M21" s="24"/>
      <c r="N21" s="24"/>
      <c r="O21" s="40"/>
      <c r="P21" s="259"/>
      <c r="Q21" s="40"/>
      <c r="R21" s="242"/>
      <c r="S21" s="48"/>
      <c r="T21" s="42"/>
      <c r="U21" s="42"/>
      <c r="V21" s="42"/>
      <c r="W21" s="42"/>
    </row>
    <row r="22" spans="1:23" ht="15">
      <c r="A22" s="153" t="s">
        <v>67</v>
      </c>
      <c r="B22" s="159"/>
      <c r="C22" s="188"/>
      <c r="D22" s="189"/>
      <c r="E22" s="618" t="s">
        <v>10</v>
      </c>
      <c r="F22" s="619"/>
      <c r="G22" s="1"/>
      <c r="H22" s="1"/>
      <c r="I22" s="41"/>
      <c r="J22" s="41"/>
      <c r="K22" s="41"/>
      <c r="L22" s="39"/>
      <c r="M22" s="24"/>
      <c r="N22" s="24"/>
      <c r="O22" s="45"/>
      <c r="P22" s="164"/>
      <c r="Q22" s="46"/>
      <c r="R22" s="243"/>
      <c r="S22" s="244"/>
      <c r="T22" s="42"/>
      <c r="U22" s="42"/>
      <c r="V22" s="42"/>
      <c r="W22" s="42"/>
    </row>
    <row r="23" spans="1:23" ht="15.75">
      <c r="A23" s="161"/>
      <c r="B23" s="160" t="s">
        <v>59</v>
      </c>
      <c r="C23" s="183">
        <f>C21*1.52</f>
        <v>409.0016</v>
      </c>
      <c r="D23" s="183">
        <f>D21*1.52</f>
        <v>482.6152</v>
      </c>
      <c r="E23" s="182">
        <v>409</v>
      </c>
      <c r="F23" s="183">
        <v>482.62</v>
      </c>
      <c r="G23" s="1"/>
      <c r="H23" s="1"/>
      <c r="I23" s="245"/>
      <c r="J23" s="41"/>
      <c r="K23" s="41"/>
      <c r="L23" s="43"/>
      <c r="M23" s="24"/>
      <c r="N23" s="24"/>
      <c r="O23" s="40"/>
      <c r="P23" s="259"/>
      <c r="Q23" s="40"/>
      <c r="R23" s="242"/>
      <c r="S23" s="48"/>
      <c r="T23" s="48"/>
      <c r="U23" s="42"/>
      <c r="V23" s="42"/>
      <c r="W23" s="42"/>
    </row>
    <row r="24" spans="1:23" ht="15">
      <c r="A24" s="140"/>
      <c r="B24" s="156"/>
      <c r="C24" s="184"/>
      <c r="D24" s="185"/>
      <c r="E24" s="184"/>
      <c r="F24" s="185"/>
      <c r="G24" s="1"/>
      <c r="H24" s="1"/>
      <c r="I24" s="41"/>
      <c r="J24" s="41"/>
      <c r="K24" s="41"/>
      <c r="L24" s="43"/>
      <c r="M24" s="24"/>
      <c r="N24" s="24"/>
      <c r="O24" s="24"/>
      <c r="P24" s="259"/>
      <c r="Q24" s="40"/>
      <c r="R24" s="242"/>
      <c r="S24" s="42"/>
      <c r="T24" s="42"/>
      <c r="U24" s="42"/>
      <c r="V24" s="42"/>
      <c r="W24" s="42"/>
    </row>
    <row r="25" spans="1:23" ht="15">
      <c r="A25" s="153" t="s">
        <v>11</v>
      </c>
      <c r="B25" s="141" t="s">
        <v>61</v>
      </c>
      <c r="C25" s="182">
        <v>12.97</v>
      </c>
      <c r="D25" s="183">
        <v>15.3</v>
      </c>
      <c r="E25" s="182">
        <v>12.97</v>
      </c>
      <c r="F25" s="183">
        <v>15.3</v>
      </c>
      <c r="G25" s="1"/>
      <c r="H25" s="1"/>
      <c r="I25" s="41"/>
      <c r="J25" s="41"/>
      <c r="K25" s="41"/>
      <c r="L25" s="43"/>
      <c r="M25" s="24"/>
      <c r="N25" s="24"/>
      <c r="O25" s="45"/>
      <c r="P25" s="164"/>
      <c r="Q25" s="46"/>
      <c r="R25" s="243"/>
      <c r="S25" s="42"/>
      <c r="T25" s="42"/>
      <c r="U25" s="42"/>
      <c r="V25" s="42"/>
      <c r="W25" s="42"/>
    </row>
    <row r="26" spans="1:23" ht="15">
      <c r="A26" s="153"/>
      <c r="B26" s="141"/>
      <c r="C26" s="182"/>
      <c r="D26" s="183"/>
      <c r="E26" s="182"/>
      <c r="F26" s="183"/>
      <c r="G26" s="1"/>
      <c r="H26" s="1"/>
      <c r="I26" s="41"/>
      <c r="J26" s="41"/>
      <c r="K26" s="41"/>
      <c r="L26" s="43"/>
      <c r="M26" s="24"/>
      <c r="N26" s="24"/>
      <c r="O26" s="45"/>
      <c r="P26" s="164"/>
      <c r="Q26" s="46"/>
      <c r="R26" s="243"/>
      <c r="S26" s="42"/>
      <c r="T26" s="42"/>
      <c r="U26" s="42"/>
      <c r="V26" s="42"/>
      <c r="W26" s="42"/>
    </row>
    <row r="27" spans="1:23" ht="15">
      <c r="A27" s="145"/>
      <c r="B27" s="165" t="s">
        <v>66</v>
      </c>
      <c r="C27" s="190">
        <f>5.3*C25</f>
        <v>68.741</v>
      </c>
      <c r="D27" s="191">
        <f>D25*5.3</f>
        <v>81.09</v>
      </c>
      <c r="E27" s="190" t="s">
        <v>5</v>
      </c>
      <c r="F27" s="191" t="s">
        <v>5</v>
      </c>
      <c r="G27" s="1"/>
      <c r="H27" s="1"/>
      <c r="I27" s="41"/>
      <c r="J27" s="41"/>
      <c r="K27" s="41"/>
      <c r="L27" s="39"/>
      <c r="M27" s="24"/>
      <c r="N27" s="24"/>
      <c r="O27" s="24"/>
      <c r="P27" s="24"/>
      <c r="Q27" s="24"/>
      <c r="R27" s="50"/>
      <c r="S27" s="42"/>
      <c r="T27" s="42"/>
      <c r="U27" s="42"/>
      <c r="V27" s="42"/>
      <c r="W27" s="42"/>
    </row>
    <row r="28" spans="1:23" ht="15">
      <c r="A28" s="140"/>
      <c r="B28" s="156"/>
      <c r="C28" s="170"/>
      <c r="D28" s="171"/>
      <c r="E28" s="170"/>
      <c r="F28" s="171"/>
      <c r="G28" s="1"/>
      <c r="H28" s="1"/>
      <c r="I28" s="41"/>
      <c r="J28" s="41"/>
      <c r="K28" s="41"/>
      <c r="L28" s="43"/>
      <c r="M28" s="24"/>
      <c r="N28" s="24"/>
      <c r="O28" s="24"/>
      <c r="P28" s="24"/>
      <c r="Q28" s="24"/>
      <c r="R28" s="50"/>
      <c r="S28" s="42"/>
      <c r="T28" s="42"/>
      <c r="U28" s="42"/>
      <c r="V28" s="42"/>
      <c r="W28" s="42"/>
    </row>
    <row r="29" spans="1:23" ht="15">
      <c r="A29" s="153" t="s">
        <v>12</v>
      </c>
      <c r="B29" s="141" t="s">
        <v>68</v>
      </c>
      <c r="C29" s="168">
        <f>D29/1.18</f>
        <v>25.423728813559322</v>
      </c>
      <c r="D29" s="169">
        <v>30</v>
      </c>
      <c r="E29" s="168"/>
      <c r="F29" s="169"/>
      <c r="G29" s="1"/>
      <c r="H29" s="1"/>
      <c r="I29" s="41"/>
      <c r="J29" s="41"/>
      <c r="K29" s="41"/>
      <c r="L29" s="43"/>
      <c r="M29" s="43"/>
      <c r="N29" s="43"/>
      <c r="O29" s="43"/>
      <c r="P29" s="43"/>
      <c r="Q29" s="43"/>
      <c r="R29" s="42"/>
      <c r="S29" s="42"/>
      <c r="T29" s="42"/>
      <c r="U29" s="42"/>
      <c r="V29" s="42"/>
      <c r="W29" s="42"/>
    </row>
    <row r="30" spans="1:23" ht="15">
      <c r="A30" s="153" t="s">
        <v>13</v>
      </c>
      <c r="B30" s="141"/>
      <c r="C30" s="168"/>
      <c r="D30" s="169"/>
      <c r="E30" s="168"/>
      <c r="F30" s="169"/>
      <c r="G30" s="1"/>
      <c r="H30" s="1"/>
      <c r="I30" s="41"/>
      <c r="J30" s="41"/>
      <c r="K30" s="41"/>
      <c r="L30" s="43"/>
      <c r="M30" s="43"/>
      <c r="N30" s="43"/>
      <c r="O30" s="43"/>
      <c r="P30" s="24"/>
      <c r="Q30" s="40"/>
      <c r="R30" s="42"/>
      <c r="S30" s="42"/>
      <c r="T30" s="42"/>
      <c r="U30" s="42"/>
      <c r="V30" s="42"/>
      <c r="W30" s="42"/>
    </row>
    <row r="31" spans="1:23" ht="15">
      <c r="A31" s="140"/>
      <c r="B31" s="137"/>
      <c r="C31" s="174"/>
      <c r="D31" s="175"/>
      <c r="E31" s="174"/>
      <c r="F31" s="175"/>
      <c r="I31" s="42"/>
      <c r="J31" s="42"/>
      <c r="K31" s="42"/>
      <c r="L31" s="43"/>
      <c r="M31" s="43"/>
      <c r="N31" s="43"/>
      <c r="O31" s="43"/>
      <c r="P31" s="24"/>
      <c r="Q31" s="40"/>
      <c r="R31" s="42"/>
      <c r="S31" s="42"/>
      <c r="T31" s="42"/>
      <c r="U31" s="42"/>
      <c r="V31" s="42"/>
      <c r="W31" s="42"/>
    </row>
    <row r="32" spans="1:23" ht="15">
      <c r="A32" s="153" t="s">
        <v>108</v>
      </c>
      <c r="B32" s="141" t="s">
        <v>57</v>
      </c>
      <c r="C32" s="168">
        <v>7.08</v>
      </c>
      <c r="D32" s="169" t="s">
        <v>5</v>
      </c>
      <c r="E32" s="168" t="s">
        <v>5</v>
      </c>
      <c r="F32" s="169" t="s">
        <v>5</v>
      </c>
      <c r="I32" s="42"/>
      <c r="J32" s="42"/>
      <c r="K32" s="42"/>
      <c r="L32" s="42"/>
      <c r="M32" s="42"/>
      <c r="N32" s="42"/>
      <c r="O32" s="42"/>
      <c r="P32" s="42"/>
      <c r="Q32" s="45"/>
      <c r="R32" s="42"/>
      <c r="S32" s="42"/>
      <c r="T32" s="42"/>
      <c r="U32" s="48"/>
      <c r="V32" s="42"/>
      <c r="W32" s="42"/>
    </row>
    <row r="33" spans="1:23" ht="14.25">
      <c r="A33" s="145"/>
      <c r="B33" s="166"/>
      <c r="C33" s="162"/>
      <c r="D33" s="163"/>
      <c r="E33" s="162"/>
      <c r="F33" s="163"/>
      <c r="I33" s="42"/>
      <c r="J33" s="42"/>
      <c r="K33" s="42"/>
      <c r="L33" s="42"/>
      <c r="M33" s="42"/>
      <c r="N33" s="42"/>
      <c r="O33" s="42"/>
      <c r="P33" s="42"/>
      <c r="Q33" s="24"/>
      <c r="R33" s="42"/>
      <c r="S33" s="42"/>
      <c r="T33" s="42"/>
      <c r="U33" s="42"/>
      <c r="V33" s="42"/>
      <c r="W33" s="42"/>
    </row>
    <row r="34" spans="9:23" ht="12.75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9:23" ht="12.75">
      <c r="I35" s="42"/>
      <c r="J35" s="42"/>
      <c r="K35" s="42"/>
      <c r="L35" s="24"/>
      <c r="M35" s="42"/>
      <c r="N35" s="24"/>
      <c r="O35" s="43"/>
      <c r="P35" s="43"/>
      <c r="Q35" s="43"/>
      <c r="R35" s="42"/>
      <c r="S35" s="42"/>
      <c r="T35" s="42"/>
      <c r="U35" s="42"/>
      <c r="V35" s="42"/>
      <c r="W35" s="42"/>
    </row>
    <row r="36" spans="1:23" ht="15">
      <c r="A36" s="1"/>
      <c r="B36" s="136" t="s">
        <v>62</v>
      </c>
      <c r="C36" s="1"/>
      <c r="D36" s="1"/>
      <c r="E36" s="1"/>
      <c r="F36" s="1"/>
      <c r="I36" s="50"/>
      <c r="J36" s="42"/>
      <c r="K36" s="42"/>
      <c r="L36" s="42"/>
      <c r="M36" s="42"/>
      <c r="N36" s="24"/>
      <c r="O36" s="43"/>
      <c r="P36" s="43"/>
      <c r="Q36" s="43"/>
      <c r="R36" s="42"/>
      <c r="S36" s="42"/>
      <c r="T36" s="42"/>
      <c r="U36" s="42"/>
      <c r="V36" s="42"/>
      <c r="W36" s="42"/>
    </row>
    <row r="37" spans="1:23" ht="15">
      <c r="A37" s="1"/>
      <c r="B37" s="136"/>
      <c r="C37" s="1"/>
      <c r="D37" s="1"/>
      <c r="E37" s="1"/>
      <c r="F37" s="1"/>
      <c r="I37" s="42"/>
      <c r="J37" s="42"/>
      <c r="K37" s="42"/>
      <c r="L37" s="24"/>
      <c r="M37" s="52"/>
      <c r="N37" s="24"/>
      <c r="O37" s="43"/>
      <c r="P37" s="43"/>
      <c r="Q37" s="52"/>
      <c r="R37" s="42"/>
      <c r="S37" s="42"/>
      <c r="T37" s="42"/>
      <c r="U37" s="42"/>
      <c r="V37" s="42"/>
      <c r="W37" s="42"/>
    </row>
    <row r="38" spans="1:23" ht="14.25">
      <c r="A38" s="137"/>
      <c r="B38" s="138"/>
      <c r="C38" s="139"/>
      <c r="D38" s="139"/>
      <c r="E38" s="140"/>
      <c r="F38" s="138"/>
      <c r="I38" s="26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ht="15">
      <c r="A39" s="141" t="s">
        <v>56</v>
      </c>
      <c r="B39" s="142"/>
      <c r="C39" s="580" t="s">
        <v>55</v>
      </c>
      <c r="D39" s="617"/>
      <c r="E39" s="580" t="s">
        <v>63</v>
      </c>
      <c r="F39" s="617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1:23" ht="14.25">
      <c r="A40" s="143"/>
      <c r="B40" s="142"/>
      <c r="C40" s="144"/>
      <c r="D40" s="144"/>
      <c r="E40" s="145"/>
      <c r="F40" s="146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1:23" ht="14.25">
      <c r="A41" s="143"/>
      <c r="B41" s="142"/>
      <c r="C41" s="147"/>
      <c r="D41" s="148"/>
      <c r="E41" s="140"/>
      <c r="F41" s="137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ht="15">
      <c r="A42" s="149"/>
      <c r="B42" s="146"/>
      <c r="C42" s="150" t="s">
        <v>52</v>
      </c>
      <c r="D42" s="151" t="s">
        <v>53</v>
      </c>
      <c r="E42" s="152" t="s">
        <v>52</v>
      </c>
      <c r="F42" s="151" t="s">
        <v>53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ht="14.25">
      <c r="A43" s="140"/>
      <c r="B43" s="137"/>
      <c r="C43" s="139"/>
      <c r="D43" s="137"/>
      <c r="E43" s="139"/>
      <c r="F43" s="137"/>
      <c r="I43" s="223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1:23" ht="15">
      <c r="A44" s="153" t="s">
        <v>2</v>
      </c>
      <c r="B44" s="141" t="s">
        <v>64</v>
      </c>
      <c r="C44" s="168">
        <v>1.25</v>
      </c>
      <c r="D44" s="169">
        <v>1.48</v>
      </c>
      <c r="E44" s="168">
        <v>12.66</v>
      </c>
      <c r="F44" s="169">
        <f>12.66*1.18</f>
        <v>14.938799999999999</v>
      </c>
      <c r="I44" s="223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1:23" ht="15">
      <c r="A45" s="153"/>
      <c r="B45" s="141"/>
      <c r="C45" s="168"/>
      <c r="D45" s="169"/>
      <c r="E45" s="168"/>
      <c r="F45" s="169"/>
      <c r="I45" s="223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 ht="15">
      <c r="A46" s="140"/>
      <c r="B46" s="156"/>
      <c r="C46" s="170"/>
      <c r="D46" s="171"/>
      <c r="E46" s="170"/>
      <c r="F46" s="171"/>
      <c r="I46" s="223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1:23" ht="15">
      <c r="A47" s="153" t="s">
        <v>69</v>
      </c>
      <c r="B47" s="141" t="s">
        <v>58</v>
      </c>
      <c r="C47" s="168">
        <v>454.45</v>
      </c>
      <c r="D47" s="169" t="s">
        <v>5</v>
      </c>
      <c r="E47" s="168">
        <v>5615</v>
      </c>
      <c r="F47" s="169">
        <f>5615*1.18</f>
        <v>6625.7</v>
      </c>
      <c r="I47" s="223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5">
      <c r="A48" s="153"/>
      <c r="B48" s="141"/>
      <c r="C48" s="168"/>
      <c r="D48" s="169"/>
      <c r="E48" s="168"/>
      <c r="F48" s="169"/>
      <c r="I48" s="223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49" spans="1:23" ht="15">
      <c r="A49" s="153"/>
      <c r="B49" s="141" t="s">
        <v>57</v>
      </c>
      <c r="C49" s="168">
        <v>18.18</v>
      </c>
      <c r="D49" s="169">
        <f>18.18*1.18</f>
        <v>21.452399999999997</v>
      </c>
      <c r="E49" s="168" t="s">
        <v>5</v>
      </c>
      <c r="F49" s="169" t="s">
        <v>5</v>
      </c>
      <c r="I49" s="223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</row>
    <row r="50" spans="1:23" ht="15">
      <c r="A50" s="140"/>
      <c r="B50" s="156"/>
      <c r="C50" s="170"/>
      <c r="D50" s="171"/>
      <c r="E50" s="170"/>
      <c r="F50" s="17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</row>
    <row r="51" spans="1:23" ht="15">
      <c r="A51" s="153" t="s">
        <v>16</v>
      </c>
      <c r="B51" s="141" t="s">
        <v>65</v>
      </c>
      <c r="C51" s="168">
        <f>46.31*1.25</f>
        <v>57.8875</v>
      </c>
      <c r="D51" s="169">
        <f>57.89*1.18</f>
        <v>68.3102</v>
      </c>
      <c r="E51" s="168">
        <v>433</v>
      </c>
      <c r="F51" s="169">
        <f>433*1.18</f>
        <v>510.94</v>
      </c>
      <c r="I51" s="26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</row>
    <row r="52" spans="1:23" ht="15">
      <c r="A52" s="153"/>
      <c r="B52" s="159"/>
      <c r="C52" s="168"/>
      <c r="D52" s="169"/>
      <c r="E52" s="168"/>
      <c r="F52" s="169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  <row r="53" spans="1:23" ht="15">
      <c r="A53" s="153"/>
      <c r="B53" s="160" t="s">
        <v>54</v>
      </c>
      <c r="C53" s="168">
        <f>57.89*3.8</f>
        <v>219.982</v>
      </c>
      <c r="D53" s="169">
        <f>68.31*3.8</f>
        <v>259.578</v>
      </c>
      <c r="E53" s="168" t="s">
        <v>5</v>
      </c>
      <c r="F53" s="169" t="s">
        <v>5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1:23" ht="15">
      <c r="A54" s="140"/>
      <c r="B54" s="156"/>
      <c r="C54" s="157"/>
      <c r="D54" s="158"/>
      <c r="E54" s="622" t="s">
        <v>60</v>
      </c>
      <c r="F54" s="623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</row>
    <row r="55" spans="1:23" ht="15">
      <c r="A55" s="153" t="s">
        <v>17</v>
      </c>
      <c r="B55" s="141" t="s">
        <v>65</v>
      </c>
      <c r="C55" s="168">
        <v>145.88</v>
      </c>
      <c r="D55" s="169">
        <f>1.18*145.88</f>
        <v>172.1384</v>
      </c>
      <c r="E55" s="168">
        <v>769.9</v>
      </c>
      <c r="F55" s="169">
        <f>1.18*E55</f>
        <v>908.482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1:23" ht="15">
      <c r="A56" s="153" t="s">
        <v>67</v>
      </c>
      <c r="B56" s="159"/>
      <c r="C56" s="154"/>
      <c r="D56" s="155"/>
      <c r="E56" s="624" t="s">
        <v>10</v>
      </c>
      <c r="F56" s="625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</row>
    <row r="57" spans="1:23" ht="15.75">
      <c r="A57" s="161"/>
      <c r="B57" s="160" t="s">
        <v>59</v>
      </c>
      <c r="C57" s="168">
        <f>1.52*145.88</f>
        <v>221.7376</v>
      </c>
      <c r="D57" s="169">
        <f>D55*1.52</f>
        <v>261.650368</v>
      </c>
      <c r="E57" s="168">
        <v>460.27</v>
      </c>
      <c r="F57" s="169">
        <f>460.27*1.18</f>
        <v>543.1185999999999</v>
      </c>
      <c r="I57" s="42"/>
      <c r="J57" s="42"/>
      <c r="K57" s="42"/>
      <c r="L57" s="43"/>
      <c r="M57" s="43"/>
      <c r="N57" s="42"/>
      <c r="O57" s="42"/>
      <c r="P57" s="42"/>
      <c r="Q57" s="42"/>
      <c r="R57" s="42"/>
      <c r="S57" s="42"/>
      <c r="T57" s="42"/>
      <c r="U57" s="42"/>
      <c r="V57" s="42"/>
      <c r="W57" s="42"/>
    </row>
    <row r="58" spans="1:23" ht="15">
      <c r="A58" s="140"/>
      <c r="B58" s="156"/>
      <c r="C58" s="170"/>
      <c r="D58" s="171"/>
      <c r="E58" s="170"/>
      <c r="F58" s="171"/>
      <c r="I58" s="42"/>
      <c r="J58" s="42"/>
      <c r="K58" s="42"/>
      <c r="L58" s="42"/>
      <c r="M58" s="42"/>
      <c r="N58" s="43"/>
      <c r="O58" s="42"/>
      <c r="P58" s="42"/>
      <c r="Q58" s="42"/>
      <c r="R58" s="42"/>
      <c r="S58" s="42"/>
      <c r="T58" s="42"/>
      <c r="U58" s="42"/>
      <c r="V58" s="42"/>
      <c r="W58" s="42"/>
    </row>
    <row r="59" spans="1:23" ht="15">
      <c r="A59" s="153" t="s">
        <v>11</v>
      </c>
      <c r="B59" s="141" t="s">
        <v>61</v>
      </c>
      <c r="C59" s="168">
        <v>10.25</v>
      </c>
      <c r="D59" s="169">
        <f>1.18*10.25</f>
        <v>12.094999999999999</v>
      </c>
      <c r="E59" s="168">
        <v>10.25</v>
      </c>
      <c r="F59" s="169">
        <v>12.1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ht="15">
      <c r="A60" s="153"/>
      <c r="B60" s="141"/>
      <c r="C60" s="168"/>
      <c r="D60" s="169"/>
      <c r="E60" s="168"/>
      <c r="F60" s="169"/>
      <c r="G60" s="27"/>
      <c r="H60" s="27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1:23" ht="15">
      <c r="A61" s="145"/>
      <c r="B61" s="165" t="s">
        <v>66</v>
      </c>
      <c r="C61" s="172">
        <f>5.3*C59</f>
        <v>54.324999999999996</v>
      </c>
      <c r="D61" s="173">
        <f>1.18*54.33</f>
        <v>64.1094</v>
      </c>
      <c r="E61" s="172" t="s">
        <v>5</v>
      </c>
      <c r="F61" s="173" t="s">
        <v>5</v>
      </c>
      <c r="G61" s="27"/>
      <c r="H61" s="27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1:23" ht="15">
      <c r="A62" s="140"/>
      <c r="B62" s="156"/>
      <c r="C62" s="170"/>
      <c r="D62" s="171"/>
      <c r="E62" s="170"/>
      <c r="F62" s="171"/>
      <c r="G62" s="27"/>
      <c r="H62" s="27"/>
      <c r="I62" s="42"/>
      <c r="J62" s="42"/>
      <c r="K62" s="42"/>
      <c r="L62" s="24"/>
      <c r="M62" s="24"/>
      <c r="N62" s="44"/>
      <c r="O62" s="24"/>
      <c r="P62" s="24"/>
      <c r="Q62" s="24"/>
      <c r="R62" s="43"/>
      <c r="S62" s="42"/>
      <c r="T62" s="42"/>
      <c r="U62" s="42"/>
      <c r="V62" s="42"/>
      <c r="W62" s="42"/>
    </row>
    <row r="63" spans="1:23" ht="15">
      <c r="A63" s="153" t="s">
        <v>12</v>
      </c>
      <c r="B63" s="141" t="s">
        <v>68</v>
      </c>
      <c r="C63" s="168"/>
      <c r="D63" s="169"/>
      <c r="E63" s="168"/>
      <c r="F63" s="169"/>
      <c r="G63" s="15"/>
      <c r="H63" s="15"/>
      <c r="I63" s="42"/>
      <c r="J63" s="42"/>
      <c r="K63" s="42"/>
      <c r="L63" s="43"/>
      <c r="M63" s="43"/>
      <c r="N63" s="43"/>
      <c r="O63" s="43"/>
      <c r="P63" s="24"/>
      <c r="Q63" s="24"/>
      <c r="R63" s="24"/>
      <c r="S63" s="42"/>
      <c r="T63" s="42"/>
      <c r="U63" s="42"/>
      <c r="V63" s="42"/>
      <c r="W63" s="42"/>
    </row>
    <row r="64" spans="1:23" ht="15">
      <c r="A64" s="153" t="s">
        <v>13</v>
      </c>
      <c r="B64" s="141"/>
      <c r="C64" s="168"/>
      <c r="D64" s="169"/>
      <c r="E64" s="168"/>
      <c r="F64" s="169"/>
      <c r="G64" s="15"/>
      <c r="H64" s="15"/>
      <c r="I64" s="42"/>
      <c r="J64" s="42"/>
      <c r="K64" s="42"/>
      <c r="L64" s="42"/>
      <c r="M64" s="42"/>
      <c r="N64" s="24"/>
      <c r="O64" s="24"/>
      <c r="P64" s="24"/>
      <c r="Q64" s="24"/>
      <c r="R64" s="43"/>
      <c r="S64" s="42"/>
      <c r="T64" s="42"/>
      <c r="U64" s="42"/>
      <c r="V64" s="42"/>
      <c r="W64" s="42"/>
    </row>
    <row r="65" spans="1:23" ht="15">
      <c r="A65" s="140"/>
      <c r="B65" s="137"/>
      <c r="C65" s="174"/>
      <c r="D65" s="175"/>
      <c r="E65" s="174"/>
      <c r="F65" s="175"/>
      <c r="G65" s="15"/>
      <c r="H65" s="15"/>
      <c r="I65" s="42"/>
      <c r="J65" s="42"/>
      <c r="K65" s="42"/>
      <c r="L65" s="43"/>
      <c r="M65" s="43"/>
      <c r="N65" s="24"/>
      <c r="O65" s="24"/>
      <c r="P65" s="24"/>
      <c r="Q65" s="24"/>
      <c r="R65" s="42"/>
      <c r="S65" s="42"/>
      <c r="T65" s="42"/>
      <c r="U65" s="42"/>
      <c r="V65" s="42"/>
      <c r="W65" s="42"/>
    </row>
    <row r="66" spans="1:23" ht="15">
      <c r="A66" s="153" t="s">
        <v>14</v>
      </c>
      <c r="B66" s="141" t="s">
        <v>57</v>
      </c>
      <c r="C66" s="168">
        <v>6.96</v>
      </c>
      <c r="D66" s="169" t="s">
        <v>5</v>
      </c>
      <c r="E66" s="168" t="s">
        <v>5</v>
      </c>
      <c r="F66" s="169" t="s">
        <v>5</v>
      </c>
      <c r="G66" s="15"/>
      <c r="H66" s="15"/>
      <c r="I66" s="263"/>
      <c r="J66" s="42"/>
      <c r="K66" s="42"/>
      <c r="L66" s="43"/>
      <c r="M66" s="43"/>
      <c r="N66" s="24"/>
      <c r="O66" s="40"/>
      <c r="P66" s="24"/>
      <c r="Q66" s="40"/>
      <c r="R66" s="242"/>
      <c r="S66" s="42"/>
      <c r="T66" s="42"/>
      <c r="U66" s="42"/>
      <c r="V66" s="42"/>
      <c r="W66" s="42"/>
    </row>
    <row r="67" spans="1:23" ht="12.75">
      <c r="A67" s="10"/>
      <c r="B67" s="10"/>
      <c r="C67" s="31"/>
      <c r="D67" s="31"/>
      <c r="E67" s="31"/>
      <c r="F67" s="31"/>
      <c r="G67" s="31"/>
      <c r="H67" s="31"/>
      <c r="I67" s="263"/>
      <c r="J67" s="42"/>
      <c r="K67" s="42"/>
      <c r="L67" s="39"/>
      <c r="M67" s="43"/>
      <c r="N67" s="24"/>
      <c r="O67" s="45"/>
      <c r="P67" s="39"/>
      <c r="Q67" s="46"/>
      <c r="R67" s="243"/>
      <c r="S67" s="42"/>
      <c r="T67" s="42"/>
      <c r="U67" s="42"/>
      <c r="V67" s="42"/>
      <c r="W67" s="42"/>
    </row>
    <row r="68" spans="7:23" ht="12.75">
      <c r="G68" s="80"/>
      <c r="H68" s="80"/>
      <c r="I68" s="42"/>
      <c r="J68" s="53"/>
      <c r="K68" s="42"/>
      <c r="L68" s="43"/>
      <c r="M68" s="24"/>
      <c r="N68" s="40"/>
      <c r="O68" s="40"/>
      <c r="P68" s="24"/>
      <c r="Q68" s="24"/>
      <c r="R68" s="242"/>
      <c r="S68" s="42"/>
      <c r="T68" s="42"/>
      <c r="U68" s="42"/>
      <c r="V68" s="42"/>
      <c r="W68" s="42"/>
    </row>
    <row r="69" spans="1:23" ht="15">
      <c r="A69" s="1"/>
      <c r="B69" s="136" t="s">
        <v>205</v>
      </c>
      <c r="C69" s="1"/>
      <c r="D69" s="1"/>
      <c r="E69" s="1"/>
      <c r="F69" s="1"/>
      <c r="I69" s="42"/>
      <c r="J69" s="54"/>
      <c r="K69" s="53"/>
      <c r="L69" s="39"/>
      <c r="M69" s="24"/>
      <c r="N69" s="24"/>
      <c r="O69" s="45"/>
      <c r="P69" s="39"/>
      <c r="Q69" s="45"/>
      <c r="R69" s="243"/>
      <c r="S69" s="42"/>
      <c r="T69" s="42"/>
      <c r="U69" s="42"/>
      <c r="V69" s="42"/>
      <c r="W69" s="42"/>
    </row>
    <row r="70" spans="1:23" ht="15">
      <c r="A70" s="1"/>
      <c r="B70" s="136"/>
      <c r="C70" s="1"/>
      <c r="D70" s="1"/>
      <c r="E70" s="1"/>
      <c r="F70" s="1"/>
      <c r="I70" s="42"/>
      <c r="J70" s="42"/>
      <c r="K70" s="42"/>
      <c r="L70" s="43"/>
      <c r="M70" s="24"/>
      <c r="N70" s="24"/>
      <c r="O70" s="40"/>
      <c r="P70" s="24"/>
      <c r="Q70" s="40"/>
      <c r="R70" s="242"/>
      <c r="S70" s="42"/>
      <c r="T70" s="42"/>
      <c r="U70" s="42"/>
      <c r="V70" s="42"/>
      <c r="W70" s="42"/>
    </row>
    <row r="71" spans="1:23" ht="14.25">
      <c r="A71" s="137"/>
      <c r="B71" s="138"/>
      <c r="C71" s="139"/>
      <c r="D71" s="139"/>
      <c r="E71" s="140"/>
      <c r="F71" s="138"/>
      <c r="I71" s="264"/>
      <c r="J71" s="265"/>
      <c r="K71" s="42"/>
      <c r="L71" s="39"/>
      <c r="M71" s="24"/>
      <c r="N71" s="24"/>
      <c r="O71" s="45"/>
      <c r="P71" s="39"/>
      <c r="Q71" s="46"/>
      <c r="R71" s="243"/>
      <c r="S71" s="42"/>
      <c r="T71" s="42"/>
      <c r="U71" s="42"/>
      <c r="V71" s="42"/>
      <c r="W71" s="42"/>
    </row>
    <row r="72" spans="1:23" ht="15">
      <c r="A72" s="141" t="s">
        <v>56</v>
      </c>
      <c r="B72" s="142"/>
      <c r="C72" s="579" t="s">
        <v>55</v>
      </c>
      <c r="D72" s="579"/>
      <c r="E72" s="580" t="s">
        <v>63</v>
      </c>
      <c r="F72" s="617"/>
      <c r="I72" s="42"/>
      <c r="J72" s="42"/>
      <c r="K72" s="42"/>
      <c r="L72" s="43"/>
      <c r="M72" s="24"/>
      <c r="N72" s="24"/>
      <c r="O72" s="40"/>
      <c r="P72" s="24"/>
      <c r="Q72" s="40"/>
      <c r="R72" s="242"/>
      <c r="S72" s="42"/>
      <c r="T72" s="42"/>
      <c r="U72" s="42"/>
      <c r="V72" s="42"/>
      <c r="W72" s="42"/>
    </row>
    <row r="73" spans="1:23" ht="14.25">
      <c r="A73" s="143"/>
      <c r="B73" s="142"/>
      <c r="C73" s="144"/>
      <c r="D73" s="144"/>
      <c r="E73" s="145"/>
      <c r="F73" s="146"/>
      <c r="I73" s="50"/>
      <c r="J73" s="50"/>
      <c r="K73" s="42"/>
      <c r="L73" s="39"/>
      <c r="M73" s="24"/>
      <c r="N73" s="24"/>
      <c r="O73" s="45"/>
      <c r="P73" s="24"/>
      <c r="Q73" s="46"/>
      <c r="R73" s="243"/>
      <c r="S73" s="42"/>
      <c r="T73" s="42"/>
      <c r="U73" s="42"/>
      <c r="V73" s="42"/>
      <c r="W73" s="42"/>
    </row>
    <row r="74" spans="1:23" ht="14.25">
      <c r="A74" s="143"/>
      <c r="B74" s="142"/>
      <c r="C74" s="147"/>
      <c r="D74" s="148"/>
      <c r="E74" s="140"/>
      <c r="F74" s="137"/>
      <c r="I74" s="42"/>
      <c r="J74" s="42"/>
      <c r="K74" s="42"/>
      <c r="L74" s="43"/>
      <c r="M74" s="24"/>
      <c r="N74" s="24"/>
      <c r="O74" s="40"/>
      <c r="P74" s="24"/>
      <c r="Q74" s="40"/>
      <c r="R74" s="242"/>
      <c r="S74" s="42"/>
      <c r="T74" s="42"/>
      <c r="U74" s="42"/>
      <c r="V74" s="42"/>
      <c r="W74" s="42"/>
    </row>
    <row r="75" spans="1:23" ht="15">
      <c r="A75" s="149"/>
      <c r="B75" s="146"/>
      <c r="C75" s="150" t="s">
        <v>52</v>
      </c>
      <c r="D75" s="151" t="s">
        <v>53</v>
      </c>
      <c r="E75" s="152" t="s">
        <v>52</v>
      </c>
      <c r="F75" s="151" t="s">
        <v>53</v>
      </c>
      <c r="I75" s="42"/>
      <c r="J75" s="53"/>
      <c r="K75" s="42"/>
      <c r="L75" s="39"/>
      <c r="M75" s="24"/>
      <c r="N75" s="24"/>
      <c r="O75" s="45"/>
      <c r="P75" s="24"/>
      <c r="Q75" s="45"/>
      <c r="R75" s="243"/>
      <c r="S75" s="42"/>
      <c r="T75" s="42"/>
      <c r="U75" s="42"/>
      <c r="V75" s="42"/>
      <c r="W75" s="42"/>
    </row>
    <row r="76" spans="1:18" ht="14.25">
      <c r="A76" s="140"/>
      <c r="B76" s="137"/>
      <c r="C76" s="139"/>
      <c r="D76" s="137"/>
      <c r="E76" s="139"/>
      <c r="F76" s="137"/>
      <c r="I76" s="12"/>
      <c r="J76" s="12"/>
      <c r="K76" s="12"/>
      <c r="L76" s="18"/>
      <c r="M76" s="38"/>
      <c r="N76" s="24"/>
      <c r="O76" s="24"/>
      <c r="P76" s="24"/>
      <c r="Q76" s="40"/>
      <c r="R76" s="242"/>
    </row>
    <row r="77" spans="1:18" ht="15">
      <c r="A77" s="153" t="s">
        <v>2</v>
      </c>
      <c r="B77" s="141" t="s">
        <v>64</v>
      </c>
      <c r="C77" s="182">
        <v>1.72</v>
      </c>
      <c r="D77" s="183">
        <v>2.03</v>
      </c>
      <c r="E77" s="182">
        <v>15</v>
      </c>
      <c r="F77" s="183">
        <f>E77*1.18</f>
        <v>17.7</v>
      </c>
      <c r="I77" s="12"/>
      <c r="J77" s="12"/>
      <c r="K77" s="12"/>
      <c r="L77" s="18"/>
      <c r="M77" s="38"/>
      <c r="N77" s="24"/>
      <c r="O77" s="45"/>
      <c r="P77" s="24"/>
      <c r="Q77" s="46"/>
      <c r="R77" s="243"/>
    </row>
    <row r="78" spans="1:18" ht="15">
      <c r="A78" s="153"/>
      <c r="B78" s="141"/>
      <c r="C78" s="182"/>
      <c r="D78" s="183"/>
      <c r="E78" s="182"/>
      <c r="F78" s="183"/>
      <c r="I78" s="12"/>
      <c r="J78" s="12"/>
      <c r="K78" s="12"/>
      <c r="L78" s="257"/>
      <c r="M78" s="38"/>
      <c r="N78" s="24"/>
      <c r="O78" s="24"/>
      <c r="P78" s="24"/>
      <c r="Q78" s="24"/>
      <c r="R78" s="71"/>
    </row>
    <row r="79" spans="1:18" ht="15">
      <c r="A79" s="140"/>
      <c r="B79" s="156"/>
      <c r="C79" s="184"/>
      <c r="D79" s="185"/>
      <c r="E79" s="184"/>
      <c r="F79" s="185"/>
      <c r="I79" s="12"/>
      <c r="J79" s="12"/>
      <c r="K79" s="12"/>
      <c r="L79" s="18"/>
      <c r="M79" s="38"/>
      <c r="N79" s="24"/>
      <c r="O79" s="24"/>
      <c r="P79" s="24"/>
      <c r="Q79" s="24"/>
      <c r="R79" s="71"/>
    </row>
    <row r="80" spans="1:18" ht="15">
      <c r="A80" s="153" t="s">
        <v>69</v>
      </c>
      <c r="B80" s="141" t="s">
        <v>58</v>
      </c>
      <c r="C80" s="182">
        <v>635.6</v>
      </c>
      <c r="D80" s="183">
        <f>C80*1.18</f>
        <v>750.008</v>
      </c>
      <c r="E80" s="182">
        <v>6650</v>
      </c>
      <c r="F80" s="183">
        <f>E80*1.18</f>
        <v>7847</v>
      </c>
      <c r="I80" s="12"/>
      <c r="J80" s="12"/>
      <c r="K80" s="12"/>
      <c r="L80" s="18"/>
      <c r="M80" s="18"/>
      <c r="N80" s="18"/>
      <c r="O80" s="18"/>
      <c r="P80" s="18"/>
      <c r="Q80" s="18"/>
      <c r="R80" s="12"/>
    </row>
    <row r="81" spans="1:18" ht="15">
      <c r="A81" s="153"/>
      <c r="B81" s="141"/>
      <c r="C81" s="182"/>
      <c r="D81" s="183"/>
      <c r="E81" s="182"/>
      <c r="F81" s="183"/>
      <c r="I81" s="12"/>
      <c r="J81" s="12"/>
      <c r="K81" s="12"/>
      <c r="L81" s="18"/>
      <c r="M81" s="18"/>
      <c r="N81" s="18"/>
      <c r="O81" s="18"/>
      <c r="P81" s="38"/>
      <c r="Q81" s="22"/>
      <c r="R81" s="12"/>
    </row>
    <row r="82" spans="1:18" ht="15">
      <c r="A82" s="153"/>
      <c r="B82" s="141" t="s">
        <v>57</v>
      </c>
      <c r="C82" s="182">
        <v>25.42</v>
      </c>
      <c r="D82" s="183">
        <v>30</v>
      </c>
      <c r="E82" s="182" t="s">
        <v>5</v>
      </c>
      <c r="F82" s="183" t="s">
        <v>5</v>
      </c>
      <c r="I82" s="12"/>
      <c r="J82" s="12"/>
      <c r="K82" s="12"/>
      <c r="L82" s="18"/>
      <c r="M82" s="18"/>
      <c r="N82" s="18"/>
      <c r="O82" s="18"/>
      <c r="P82" s="258"/>
      <c r="Q82" s="258"/>
      <c r="R82" s="12"/>
    </row>
    <row r="83" spans="1:18" ht="15">
      <c r="A83" s="140"/>
      <c r="B83" s="156"/>
      <c r="C83" s="184"/>
      <c r="D83" s="185"/>
      <c r="E83" s="184"/>
      <c r="F83" s="185"/>
      <c r="I83" s="12"/>
      <c r="J83" s="12"/>
      <c r="K83" s="12"/>
      <c r="L83" s="18"/>
      <c r="M83" s="18"/>
      <c r="N83" s="18"/>
      <c r="O83" s="18"/>
      <c r="P83" s="38"/>
      <c r="Q83" s="22"/>
      <c r="R83" s="12"/>
    </row>
    <row r="84" spans="1:18" ht="15">
      <c r="A84" s="153" t="s">
        <v>16</v>
      </c>
      <c r="B84" s="141" t="s">
        <v>65</v>
      </c>
      <c r="C84" s="182">
        <v>76.27</v>
      </c>
      <c r="D84" s="183">
        <v>90</v>
      </c>
      <c r="E84" s="182">
        <v>365</v>
      </c>
      <c r="F84" s="183">
        <f>E84*1.18</f>
        <v>430.7</v>
      </c>
      <c r="I84" s="12"/>
      <c r="J84" s="12"/>
      <c r="K84" s="12"/>
      <c r="L84" s="12"/>
      <c r="M84" s="12"/>
      <c r="N84" s="12"/>
      <c r="O84" s="12"/>
      <c r="P84" s="12"/>
      <c r="Q84" s="23"/>
      <c r="R84" s="12"/>
    </row>
    <row r="85" spans="1:18" ht="15">
      <c r="A85" s="153"/>
      <c r="B85" s="159"/>
      <c r="C85" s="182"/>
      <c r="D85" s="183"/>
      <c r="E85" s="182"/>
      <c r="F85" s="183"/>
      <c r="I85" s="12"/>
      <c r="J85" s="12"/>
      <c r="K85" s="12"/>
      <c r="L85" s="12"/>
      <c r="M85" s="12"/>
      <c r="N85" s="12"/>
      <c r="O85" s="12"/>
      <c r="P85" s="12"/>
      <c r="Q85" s="38"/>
      <c r="R85" s="12"/>
    </row>
    <row r="86" spans="1:18" ht="15">
      <c r="A86" s="153"/>
      <c r="B86" s="160" t="s">
        <v>54</v>
      </c>
      <c r="C86" s="182">
        <f>C84*3.8</f>
        <v>289.82599999999996</v>
      </c>
      <c r="D86" s="183">
        <f>D84*3.8</f>
        <v>342</v>
      </c>
      <c r="E86" s="182" t="s">
        <v>5</v>
      </c>
      <c r="F86" s="183" t="s">
        <v>5</v>
      </c>
      <c r="I86" s="12"/>
      <c r="J86" s="12"/>
      <c r="K86" s="12"/>
      <c r="L86" s="12"/>
      <c r="M86" s="12"/>
      <c r="N86" s="12"/>
      <c r="O86" s="12"/>
      <c r="P86" s="12"/>
      <c r="Q86" s="38"/>
      <c r="R86" s="12"/>
    </row>
    <row r="87" spans="1:18" ht="15">
      <c r="A87" s="140"/>
      <c r="B87" s="156"/>
      <c r="C87" s="186"/>
      <c r="D87" s="187"/>
      <c r="E87" s="620" t="s">
        <v>60</v>
      </c>
      <c r="F87" s="621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5">
      <c r="A88" s="153" t="s">
        <v>17</v>
      </c>
      <c r="B88" s="141" t="s">
        <v>65</v>
      </c>
      <c r="C88" s="182">
        <v>338.98</v>
      </c>
      <c r="D88" s="183">
        <f>C88*1.18</f>
        <v>399.9964</v>
      </c>
      <c r="E88" s="182">
        <v>409.64</v>
      </c>
      <c r="F88" s="183">
        <f>1.18*E88</f>
        <v>483.37519999999995</v>
      </c>
      <c r="I88" s="12"/>
      <c r="J88" s="12"/>
      <c r="K88" s="12"/>
      <c r="L88" s="38"/>
      <c r="M88" s="12"/>
      <c r="N88" s="38"/>
      <c r="O88" s="18"/>
      <c r="P88" s="18"/>
      <c r="Q88" s="18"/>
      <c r="R88" s="12"/>
    </row>
    <row r="89" spans="1:18" ht="15">
      <c r="A89" s="153" t="s">
        <v>67</v>
      </c>
      <c r="B89" s="159"/>
      <c r="C89" s="188"/>
      <c r="D89" s="189"/>
      <c r="E89" s="618" t="s">
        <v>10</v>
      </c>
      <c r="F89" s="619"/>
      <c r="I89" s="12"/>
      <c r="J89" s="12"/>
      <c r="K89" s="12"/>
      <c r="L89" s="12"/>
      <c r="M89" s="12"/>
      <c r="N89" s="38"/>
      <c r="O89" s="18"/>
      <c r="P89" s="18"/>
      <c r="Q89" s="18"/>
      <c r="R89" s="12"/>
    </row>
    <row r="90" spans="1:18" ht="15.75">
      <c r="A90" s="161"/>
      <c r="B90" s="160" t="s">
        <v>59</v>
      </c>
      <c r="C90" s="183">
        <f>C88*1.52</f>
        <v>515.2496</v>
      </c>
      <c r="D90" s="183">
        <f>D88*1.52</f>
        <v>607.994528</v>
      </c>
      <c r="E90" s="182"/>
      <c r="F90" s="183">
        <v>482.62</v>
      </c>
      <c r="I90" s="12"/>
      <c r="J90" s="12"/>
      <c r="K90" s="12"/>
      <c r="L90" s="38"/>
      <c r="M90" s="219"/>
      <c r="N90" s="38"/>
      <c r="O90" s="18"/>
      <c r="P90" s="18"/>
      <c r="Q90" s="219"/>
      <c r="R90" s="12"/>
    </row>
    <row r="91" spans="1:18" ht="15">
      <c r="A91" s="140"/>
      <c r="B91" s="156"/>
      <c r="C91" s="184"/>
      <c r="D91" s="185"/>
      <c r="E91" s="184"/>
      <c r="F91" s="185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5">
      <c r="A92" s="153" t="s">
        <v>11</v>
      </c>
      <c r="B92" s="141" t="s">
        <v>61</v>
      </c>
      <c r="C92" s="182">
        <v>15.06</v>
      </c>
      <c r="D92" s="183">
        <v>17.77</v>
      </c>
      <c r="E92" s="182">
        <v>15.06</v>
      </c>
      <c r="F92" s="183">
        <v>15.3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15">
      <c r="A93" s="153"/>
      <c r="B93" s="141"/>
      <c r="C93" s="182"/>
      <c r="D93" s="183"/>
      <c r="E93" s="182"/>
      <c r="F93" s="183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5">
      <c r="A94" s="145"/>
      <c r="B94" s="165" t="s">
        <v>66</v>
      </c>
      <c r="C94" s="190">
        <f>5.3*C92</f>
        <v>79.818</v>
      </c>
      <c r="D94" s="191">
        <f>D92*5.3</f>
        <v>94.181</v>
      </c>
      <c r="E94" s="190" t="s">
        <v>5</v>
      </c>
      <c r="F94" s="191" t="s">
        <v>5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5">
      <c r="A95" s="140"/>
      <c r="B95" s="156"/>
      <c r="C95" s="170"/>
      <c r="D95" s="171"/>
      <c r="E95" s="170"/>
      <c r="F95" s="171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5">
      <c r="A96" s="153" t="s">
        <v>12</v>
      </c>
      <c r="B96" s="141" t="s">
        <v>68</v>
      </c>
      <c r="C96" s="168">
        <f>D96/1.18</f>
        <v>25.423728813559322</v>
      </c>
      <c r="D96" s="169">
        <v>30</v>
      </c>
      <c r="E96" s="168"/>
      <c r="F96" s="169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15">
      <c r="A97" s="153" t="s">
        <v>13</v>
      </c>
      <c r="B97" s="141"/>
      <c r="C97" s="168"/>
      <c r="D97" s="169"/>
      <c r="E97" s="168"/>
      <c r="F97" s="169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15">
      <c r="A98" s="140"/>
      <c r="B98" s="137"/>
      <c r="C98" s="174"/>
      <c r="D98" s="175"/>
      <c r="E98" s="174"/>
      <c r="F98" s="175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15">
      <c r="A99" s="153" t="s">
        <v>108</v>
      </c>
      <c r="B99" s="141" t="s">
        <v>57</v>
      </c>
      <c r="C99" s="168">
        <v>7.08</v>
      </c>
      <c r="D99" s="169" t="s">
        <v>5</v>
      </c>
      <c r="E99" s="168" t="s">
        <v>5</v>
      </c>
      <c r="F99" s="169" t="s">
        <v>5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14.25">
      <c r="A100" s="145"/>
      <c r="B100" s="166"/>
      <c r="C100" s="162"/>
      <c r="D100" s="163"/>
      <c r="E100" s="162"/>
      <c r="F100" s="163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9:18" ht="12.75"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9:18" ht="12.75"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9:18" ht="12.75"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9:18" ht="12.75"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9:18" ht="12.75"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11" spans="1:1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"/>
      <c r="C123" s="1"/>
      <c r="D123" s="1"/>
      <c r="E123" s="1"/>
      <c r="F123" s="1"/>
      <c r="G123" s="1"/>
      <c r="H123" s="1"/>
      <c r="I123" s="33"/>
      <c r="J123" s="1"/>
      <c r="K123" s="1"/>
    </row>
    <row r="124" spans="1:11" ht="14.25">
      <c r="A124" s="1"/>
      <c r="B124" s="1"/>
      <c r="C124" s="1"/>
      <c r="D124" s="1"/>
      <c r="E124" s="1"/>
      <c r="F124" s="1"/>
      <c r="G124" s="1"/>
      <c r="H124" s="1"/>
      <c r="I124" s="34"/>
      <c r="J124" s="1"/>
      <c r="K124" s="1"/>
    </row>
    <row r="125" spans="1:11" ht="14.25">
      <c r="A125" s="1"/>
      <c r="B125" s="1"/>
      <c r="C125" s="1"/>
      <c r="D125" s="1"/>
      <c r="E125" s="1"/>
      <c r="F125" s="1"/>
      <c r="G125" s="1"/>
      <c r="H125" s="1"/>
      <c r="I125" s="34"/>
      <c r="J125" s="1"/>
      <c r="K125" s="1"/>
    </row>
    <row r="126" spans="1:11" ht="14.25">
      <c r="A126" s="1"/>
      <c r="B126" s="1"/>
      <c r="C126" s="1"/>
      <c r="D126" s="1"/>
      <c r="E126" s="1"/>
      <c r="F126" s="1"/>
      <c r="G126" s="1"/>
      <c r="H126" s="1"/>
      <c r="I126" s="33"/>
      <c r="J126" s="1"/>
      <c r="K126" s="1"/>
    </row>
    <row r="127" spans="1:11" ht="14.25">
      <c r="A127" s="1"/>
      <c r="B127" s="1"/>
      <c r="C127" s="1"/>
      <c r="D127" s="1"/>
      <c r="E127" s="1"/>
      <c r="F127" s="1"/>
      <c r="G127" s="1"/>
      <c r="H127" s="1"/>
      <c r="I127" s="33"/>
      <c r="J127" s="1"/>
      <c r="K127" s="1"/>
    </row>
    <row r="128" spans="1:11" ht="14.25">
      <c r="A128" s="3"/>
      <c r="B128" s="1"/>
      <c r="C128" s="1"/>
      <c r="D128" s="1"/>
      <c r="E128" s="1"/>
      <c r="F128" s="1"/>
      <c r="G128" s="1"/>
      <c r="H128" s="1"/>
      <c r="I128" s="35"/>
      <c r="J128" s="1"/>
      <c r="K128" s="1"/>
    </row>
    <row r="129" spans="1:11" ht="14.25">
      <c r="A129" s="1"/>
      <c r="B129" s="1"/>
      <c r="C129" s="1"/>
      <c r="D129" s="1"/>
      <c r="E129" s="1"/>
      <c r="F129" s="1"/>
      <c r="G129" s="1"/>
      <c r="H129" s="1"/>
      <c r="I129" s="33"/>
      <c r="J129" s="1"/>
      <c r="K129" s="1"/>
    </row>
    <row r="130" spans="1:11" ht="14.25">
      <c r="A130" s="3"/>
      <c r="B130" s="1"/>
      <c r="C130" s="1"/>
      <c r="D130" s="1"/>
      <c r="E130" s="1"/>
      <c r="F130" s="1"/>
      <c r="G130" s="1"/>
      <c r="H130" s="1"/>
      <c r="I130" s="36"/>
      <c r="J130" s="1"/>
      <c r="K130" s="1"/>
    </row>
    <row r="131" spans="1:11" ht="14.25">
      <c r="A131" s="32"/>
      <c r="B131" s="1"/>
      <c r="C131" s="1"/>
      <c r="D131" s="1"/>
      <c r="E131" s="1"/>
      <c r="F131" s="1"/>
      <c r="G131" s="1"/>
      <c r="H131" s="1"/>
      <c r="I131" s="33"/>
      <c r="J131" s="1"/>
      <c r="K131" s="1"/>
    </row>
    <row r="132" spans="1:11" ht="14.25">
      <c r="A132" s="1"/>
      <c r="B132" s="1"/>
      <c r="C132" s="1"/>
      <c r="D132" s="1"/>
      <c r="E132" s="1"/>
      <c r="F132" s="1"/>
      <c r="G132" s="1"/>
      <c r="H132" s="1"/>
      <c r="I132" s="33"/>
      <c r="J132" s="1"/>
      <c r="K132" s="1"/>
    </row>
    <row r="133" spans="1:11" ht="14.25">
      <c r="A133" s="3"/>
      <c r="B133" s="3"/>
      <c r="C133" s="1"/>
      <c r="D133" s="1"/>
      <c r="E133" s="1"/>
      <c r="F133" s="1"/>
      <c r="G133" s="1"/>
      <c r="H133" s="1"/>
      <c r="I133" s="33"/>
      <c r="J133" s="1"/>
      <c r="K133" s="1"/>
    </row>
    <row r="134" spans="1:11" ht="14.25">
      <c r="A134" s="3"/>
      <c r="B134" s="3"/>
      <c r="C134" s="1"/>
      <c r="D134" s="1"/>
      <c r="E134" s="1"/>
      <c r="F134" s="1"/>
      <c r="G134" s="1"/>
      <c r="H134" s="1"/>
      <c r="I134" s="3"/>
      <c r="J134" s="1"/>
      <c r="K134" s="1"/>
    </row>
    <row r="135" spans="1:1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9" spans="1:10" ht="14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64" spans="1:11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1:11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1:11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1:11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1:11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1:11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</sheetData>
  <sheetProtection/>
  <mergeCells count="12">
    <mergeCell ref="E54:F54"/>
    <mergeCell ref="E56:F56"/>
    <mergeCell ref="E87:F87"/>
    <mergeCell ref="E89:F89"/>
    <mergeCell ref="C72:D72"/>
    <mergeCell ref="E72:F72"/>
    <mergeCell ref="E5:F5"/>
    <mergeCell ref="C5:D5"/>
    <mergeCell ref="E22:F22"/>
    <mergeCell ref="E20:F20"/>
    <mergeCell ref="C39:D39"/>
    <mergeCell ref="E39:F39"/>
  </mergeCells>
  <printOptions/>
  <pageMargins left="1.25" right="1.18" top="0.984251968503937" bottom="0.6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W193"/>
  <sheetViews>
    <sheetView zoomScalePageLayoutView="0" workbookViewId="0" topLeftCell="A49">
      <selection activeCell="A1" sqref="A1:F67"/>
    </sheetView>
  </sheetViews>
  <sheetFormatPr defaultColWidth="9.140625" defaultRowHeight="12.75"/>
  <cols>
    <col min="1" max="1" width="23.140625" style="0" customWidth="1"/>
    <col min="2" max="2" width="18.57421875" style="0" customWidth="1"/>
    <col min="3" max="4" width="18.7109375" style="0" customWidth="1"/>
    <col min="5" max="6" width="20.7109375" style="0" customWidth="1"/>
    <col min="9" max="9" width="11.28125" style="0" bestFit="1" customWidth="1"/>
    <col min="12" max="12" width="20.421875" style="0" customWidth="1"/>
    <col min="13" max="13" width="7.7109375" style="0" customWidth="1"/>
    <col min="14" max="14" width="10.140625" style="0" customWidth="1"/>
    <col min="15" max="15" width="13.8515625" style="0" customWidth="1"/>
    <col min="16" max="16" width="16.140625" style="0" customWidth="1"/>
    <col min="17" max="17" width="13.8515625" style="0" customWidth="1"/>
    <col min="18" max="18" width="10.28125" style="0" customWidth="1"/>
  </cols>
  <sheetData>
    <row r="2" spans="1:11" ht="15">
      <c r="A2" s="1"/>
      <c r="B2" s="136" t="s">
        <v>94</v>
      </c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36"/>
      <c r="C3" s="1"/>
      <c r="D3" s="1"/>
      <c r="E3" s="1"/>
      <c r="F3" s="1"/>
      <c r="G3" s="1"/>
      <c r="H3" s="1"/>
      <c r="I3" s="1"/>
      <c r="J3" s="1"/>
      <c r="K3" s="1"/>
    </row>
    <row r="4" spans="1:23" ht="14.25">
      <c r="A4" s="137"/>
      <c r="B4" s="138"/>
      <c r="C4" s="139"/>
      <c r="D4" s="139"/>
      <c r="E4" s="140"/>
      <c r="F4" s="138"/>
      <c r="G4" s="1"/>
      <c r="H4" s="1"/>
      <c r="I4" s="41"/>
      <c r="J4" s="41"/>
      <c r="K4" s="4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15">
      <c r="A5" s="141" t="s">
        <v>56</v>
      </c>
      <c r="B5" s="142"/>
      <c r="C5" s="579" t="s">
        <v>55</v>
      </c>
      <c r="D5" s="579"/>
      <c r="E5" s="580" t="s">
        <v>63</v>
      </c>
      <c r="F5" s="617"/>
      <c r="G5" s="1"/>
      <c r="H5" s="1"/>
      <c r="I5" s="41"/>
      <c r="J5" s="41"/>
      <c r="K5" s="41"/>
      <c r="L5" s="43"/>
      <c r="M5" s="43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ht="14.25">
      <c r="A6" s="143"/>
      <c r="B6" s="142"/>
      <c r="C6" s="144"/>
      <c r="D6" s="144"/>
      <c r="E6" s="145"/>
      <c r="F6" s="146"/>
      <c r="G6" s="1"/>
      <c r="H6" s="1"/>
      <c r="I6" s="41"/>
      <c r="J6" s="41"/>
      <c r="K6" s="41"/>
      <c r="L6" s="42"/>
      <c r="M6" s="42"/>
      <c r="N6" s="43"/>
      <c r="O6" s="42"/>
      <c r="P6" s="42"/>
      <c r="Q6" s="42"/>
      <c r="R6" s="42"/>
      <c r="S6" s="42"/>
      <c r="T6" s="42"/>
      <c r="U6" s="42"/>
      <c r="V6" s="42"/>
      <c r="W6" s="42"/>
    </row>
    <row r="7" spans="1:23" ht="14.25">
      <c r="A7" s="143"/>
      <c r="B7" s="142"/>
      <c r="C7" s="147"/>
      <c r="D7" s="148"/>
      <c r="E7" s="140"/>
      <c r="F7" s="137"/>
      <c r="G7" s="1"/>
      <c r="H7" s="1"/>
      <c r="I7" s="41"/>
      <c r="J7" s="41"/>
      <c r="K7" s="41"/>
      <c r="L7" s="42"/>
      <c r="M7" s="42"/>
      <c r="N7" s="43"/>
      <c r="O7" s="42"/>
      <c r="P7" s="42"/>
      <c r="Q7" s="42"/>
      <c r="R7" s="42"/>
      <c r="S7" s="42"/>
      <c r="T7" s="42"/>
      <c r="U7" s="42"/>
      <c r="V7" s="42"/>
      <c r="W7" s="42"/>
    </row>
    <row r="8" spans="1:23" ht="15">
      <c r="A8" s="149"/>
      <c r="B8" s="146"/>
      <c r="C8" s="150" t="s">
        <v>52</v>
      </c>
      <c r="D8" s="151" t="s">
        <v>53</v>
      </c>
      <c r="E8" s="152" t="s">
        <v>52</v>
      </c>
      <c r="F8" s="151" t="s">
        <v>53</v>
      </c>
      <c r="G8" s="1"/>
      <c r="H8" s="1"/>
      <c r="I8" s="41"/>
      <c r="J8" s="41"/>
      <c r="K8" s="41"/>
      <c r="L8" s="42"/>
      <c r="M8" s="42"/>
      <c r="N8" s="43"/>
      <c r="O8" s="42"/>
      <c r="P8" s="42"/>
      <c r="Q8" s="42"/>
      <c r="R8" s="42"/>
      <c r="S8" s="42"/>
      <c r="T8" s="42"/>
      <c r="U8" s="42"/>
      <c r="V8" s="42"/>
      <c r="W8" s="42"/>
    </row>
    <row r="9" spans="1:23" ht="14.25">
      <c r="A9" s="140"/>
      <c r="B9" s="137"/>
      <c r="C9" s="139"/>
      <c r="D9" s="137"/>
      <c r="E9" s="139"/>
      <c r="F9" s="137"/>
      <c r="G9" s="1"/>
      <c r="H9" s="1"/>
      <c r="I9" s="41"/>
      <c r="J9" s="41"/>
      <c r="K9" s="41"/>
      <c r="L9" s="42"/>
      <c r="M9" s="42"/>
      <c r="N9" s="43"/>
      <c r="O9" s="42"/>
      <c r="P9" s="42"/>
      <c r="Q9" s="42"/>
      <c r="R9" s="42"/>
      <c r="S9" s="42"/>
      <c r="T9" s="42"/>
      <c r="U9" s="42"/>
      <c r="V9" s="42"/>
      <c r="W9" s="42"/>
    </row>
    <row r="10" spans="1:23" ht="15">
      <c r="A10" s="153" t="s">
        <v>2</v>
      </c>
      <c r="B10" s="141" t="s">
        <v>64</v>
      </c>
      <c r="C10" s="182">
        <v>1.57</v>
      </c>
      <c r="D10" s="183">
        <v>1.85</v>
      </c>
      <c r="E10" s="182">
        <v>14.6</v>
      </c>
      <c r="F10" s="183">
        <f>E10*1.18</f>
        <v>17.227999999999998</v>
      </c>
      <c r="G10" s="1"/>
      <c r="H10" s="1"/>
      <c r="I10" s="41"/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5">
      <c r="A11" s="153"/>
      <c r="B11" s="141"/>
      <c r="C11" s="182"/>
      <c r="D11" s="183"/>
      <c r="E11" s="182"/>
      <c r="F11" s="183"/>
      <c r="G11" s="1"/>
      <c r="H11" s="1"/>
      <c r="I11" s="41"/>
      <c r="J11" s="41"/>
      <c r="K11" s="4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15">
      <c r="A12" s="140"/>
      <c r="B12" s="156"/>
      <c r="C12" s="184"/>
      <c r="D12" s="185"/>
      <c r="E12" s="184"/>
      <c r="F12" s="185"/>
      <c r="G12" s="1"/>
      <c r="H12" s="1"/>
      <c r="I12" s="41"/>
      <c r="J12" s="41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15">
      <c r="A13" s="153" t="s">
        <v>69</v>
      </c>
      <c r="B13" s="141" t="s">
        <v>58</v>
      </c>
      <c r="C13" s="182">
        <v>508.48</v>
      </c>
      <c r="D13" s="183">
        <v>600</v>
      </c>
      <c r="E13" s="182">
        <v>7538</v>
      </c>
      <c r="F13" s="183">
        <f>E13*1.18</f>
        <v>8894.84</v>
      </c>
      <c r="G13" s="1"/>
      <c r="H13" s="1"/>
      <c r="I13" s="41"/>
      <c r="J13" s="41"/>
      <c r="K13" s="41"/>
      <c r="L13" s="24"/>
      <c r="M13" s="24"/>
      <c r="N13" s="44"/>
      <c r="O13" s="24"/>
      <c r="P13" s="24"/>
      <c r="Q13" s="24"/>
      <c r="R13" s="43"/>
      <c r="S13" s="42"/>
      <c r="T13" s="42"/>
      <c r="U13" s="42"/>
      <c r="V13" s="42"/>
      <c r="W13" s="42"/>
    </row>
    <row r="14" spans="1:23" ht="15">
      <c r="A14" s="153"/>
      <c r="B14" s="141"/>
      <c r="C14" s="182"/>
      <c r="D14" s="183"/>
      <c r="E14" s="182"/>
      <c r="F14" s="183"/>
      <c r="G14" s="1"/>
      <c r="H14" s="1"/>
      <c r="I14" s="41"/>
      <c r="J14" s="41"/>
      <c r="K14" s="41"/>
      <c r="L14" s="43"/>
      <c r="M14" s="43"/>
      <c r="N14" s="43"/>
      <c r="O14" s="43"/>
      <c r="P14" s="24"/>
      <c r="Q14" s="24"/>
      <c r="R14" s="24"/>
      <c r="S14" s="42"/>
      <c r="T14" s="42"/>
      <c r="U14" s="42"/>
      <c r="V14" s="42"/>
      <c r="W14" s="42"/>
    </row>
    <row r="15" spans="1:23" ht="15">
      <c r="A15" s="153"/>
      <c r="B15" s="141" t="s">
        <v>57</v>
      </c>
      <c r="C15" s="182">
        <v>20.34</v>
      </c>
      <c r="D15" s="183">
        <f>20.34*1.18</f>
        <v>24.001199999999997</v>
      </c>
      <c r="E15" s="182" t="s">
        <v>5</v>
      </c>
      <c r="F15" s="183" t="s">
        <v>5</v>
      </c>
      <c r="G15" s="1"/>
      <c r="H15" s="1"/>
      <c r="I15" s="41"/>
      <c r="J15" s="41"/>
      <c r="K15" s="41"/>
      <c r="L15" s="42"/>
      <c r="M15" s="42"/>
      <c r="N15" s="24"/>
      <c r="O15" s="24"/>
      <c r="P15" s="24"/>
      <c r="Q15" s="24"/>
      <c r="R15" s="43"/>
      <c r="S15" s="42"/>
      <c r="T15" s="42"/>
      <c r="U15" s="42"/>
      <c r="V15" s="42"/>
      <c r="W15" s="42"/>
    </row>
    <row r="16" spans="1:23" ht="15">
      <c r="A16" s="140"/>
      <c r="B16" s="156"/>
      <c r="C16" s="184"/>
      <c r="D16" s="185"/>
      <c r="E16" s="184"/>
      <c r="F16" s="185"/>
      <c r="G16" s="1"/>
      <c r="H16" s="1"/>
      <c r="I16" s="41"/>
      <c r="J16" s="41"/>
      <c r="K16" s="41"/>
      <c r="L16" s="43"/>
      <c r="M16" s="43"/>
      <c r="N16" s="24"/>
      <c r="O16" s="40"/>
      <c r="P16" s="259"/>
      <c r="Q16" s="40"/>
      <c r="R16" s="242"/>
      <c r="S16" s="42"/>
      <c r="T16" s="42"/>
      <c r="U16" s="42"/>
      <c r="V16" s="42"/>
      <c r="W16" s="42"/>
    </row>
    <row r="17" spans="1:23" ht="15">
      <c r="A17" s="153" t="s">
        <v>16</v>
      </c>
      <c r="B17" s="141" t="s">
        <v>65</v>
      </c>
      <c r="C17" s="182">
        <v>60.68</v>
      </c>
      <c r="D17" s="183">
        <v>71.6</v>
      </c>
      <c r="E17" s="182">
        <v>429</v>
      </c>
      <c r="F17" s="183">
        <f>E17*1.18</f>
        <v>506.21999999999997</v>
      </c>
      <c r="G17" s="1"/>
      <c r="H17" s="1"/>
      <c r="I17" s="41"/>
      <c r="J17" s="41"/>
      <c r="K17" s="41"/>
      <c r="L17" s="39"/>
      <c r="M17" s="43"/>
      <c r="N17" s="24"/>
      <c r="O17" s="45"/>
      <c r="P17" s="164"/>
      <c r="Q17" s="46"/>
      <c r="R17" s="243"/>
      <c r="S17" s="42"/>
      <c r="T17" s="42"/>
      <c r="U17" s="42"/>
      <c r="V17" s="42"/>
      <c r="W17" s="42"/>
    </row>
    <row r="18" spans="1:23" ht="15">
      <c r="A18" s="153"/>
      <c r="B18" s="159"/>
      <c r="C18" s="182"/>
      <c r="D18" s="183"/>
      <c r="E18" s="182"/>
      <c r="F18" s="183"/>
      <c r="G18" s="1"/>
      <c r="H18" s="1"/>
      <c r="I18" s="47"/>
      <c r="J18" s="41"/>
      <c r="K18" s="41"/>
      <c r="L18" s="43"/>
      <c r="M18" s="24"/>
      <c r="N18" s="40"/>
      <c r="O18" s="40"/>
      <c r="P18" s="260"/>
      <c r="Q18" s="24"/>
      <c r="R18" s="242"/>
      <c r="S18" s="42"/>
      <c r="T18" s="42"/>
      <c r="U18" s="42"/>
      <c r="V18" s="42"/>
      <c r="W18" s="42"/>
    </row>
    <row r="19" spans="1:23" ht="15">
      <c r="A19" s="153"/>
      <c r="B19" s="160" t="s">
        <v>54</v>
      </c>
      <c r="C19" s="182">
        <f>C17*3.8</f>
        <v>230.58399999999997</v>
      </c>
      <c r="D19" s="183">
        <f>D17*3.8</f>
        <v>272.08</v>
      </c>
      <c r="E19" s="182" t="s">
        <v>5</v>
      </c>
      <c r="F19" s="183" t="s">
        <v>5</v>
      </c>
      <c r="G19" s="1"/>
      <c r="H19" s="1"/>
      <c r="I19" s="47"/>
      <c r="J19" s="41"/>
      <c r="K19" s="41"/>
      <c r="L19" s="39"/>
      <c r="M19" s="24"/>
      <c r="N19" s="24"/>
      <c r="O19" s="45"/>
      <c r="P19" s="261"/>
      <c r="Q19" s="45"/>
      <c r="R19" s="243"/>
      <c r="S19" s="42"/>
      <c r="T19" s="42"/>
      <c r="U19" s="42"/>
      <c r="V19" s="42"/>
      <c r="W19" s="42"/>
    </row>
    <row r="20" spans="1:23" ht="15">
      <c r="A20" s="140"/>
      <c r="B20" s="156"/>
      <c r="C20" s="186"/>
      <c r="D20" s="187"/>
      <c r="E20" s="620" t="s">
        <v>60</v>
      </c>
      <c r="F20" s="621"/>
      <c r="G20" s="1"/>
      <c r="H20" s="1"/>
      <c r="I20" s="41"/>
      <c r="J20" s="41"/>
      <c r="K20" s="41"/>
      <c r="L20" s="39"/>
      <c r="M20" s="24"/>
      <c r="N20" s="24"/>
      <c r="O20" s="45"/>
      <c r="P20" s="164"/>
      <c r="Q20" s="46"/>
      <c r="R20" s="243"/>
      <c r="S20" s="48"/>
      <c r="T20" s="42"/>
      <c r="U20" s="42"/>
      <c r="V20" s="42"/>
      <c r="W20" s="42"/>
    </row>
    <row r="21" spans="1:23" ht="15">
      <c r="A21" s="153" t="s">
        <v>17</v>
      </c>
      <c r="B21" s="141" t="s">
        <v>65</v>
      </c>
      <c r="C21" s="182">
        <v>269.08</v>
      </c>
      <c r="D21" s="183">
        <v>317.51</v>
      </c>
      <c r="E21" s="182">
        <v>690.85</v>
      </c>
      <c r="F21" s="183">
        <f>1.18*E21</f>
        <v>815.203</v>
      </c>
      <c r="G21" s="1"/>
      <c r="H21" s="1"/>
      <c r="I21" s="49"/>
      <c r="J21" s="41"/>
      <c r="K21" s="41"/>
      <c r="L21" s="43"/>
      <c r="M21" s="24"/>
      <c r="N21" s="24"/>
      <c r="O21" s="40"/>
      <c r="P21" s="259"/>
      <c r="Q21" s="40"/>
      <c r="R21" s="242"/>
      <c r="S21" s="48"/>
      <c r="T21" s="42"/>
      <c r="U21" s="42"/>
      <c r="V21" s="42"/>
      <c r="W21" s="42"/>
    </row>
    <row r="22" spans="1:23" ht="15">
      <c r="A22" s="153" t="s">
        <v>67</v>
      </c>
      <c r="B22" s="159"/>
      <c r="C22" s="188"/>
      <c r="D22" s="189"/>
      <c r="E22" s="618" t="s">
        <v>10</v>
      </c>
      <c r="F22" s="619"/>
      <c r="G22" s="1"/>
      <c r="H22" s="1"/>
      <c r="I22" s="41"/>
      <c r="J22" s="41"/>
      <c r="K22" s="41"/>
      <c r="L22" s="39"/>
      <c r="M22" s="24"/>
      <c r="N22" s="24"/>
      <c r="O22" s="45"/>
      <c r="P22" s="164"/>
      <c r="Q22" s="46"/>
      <c r="R22" s="243"/>
      <c r="S22" s="244"/>
      <c r="T22" s="42"/>
      <c r="U22" s="42"/>
      <c r="V22" s="42"/>
      <c r="W22" s="42"/>
    </row>
    <row r="23" spans="1:23" ht="15.75">
      <c r="A23" s="161"/>
      <c r="B23" s="160" t="s">
        <v>59</v>
      </c>
      <c r="C23" s="183">
        <f>C21*1.52</f>
        <v>409.0016</v>
      </c>
      <c r="D23" s="183">
        <f>D21*1.52</f>
        <v>482.6152</v>
      </c>
      <c r="E23" s="182">
        <v>409</v>
      </c>
      <c r="F23" s="183">
        <v>482.62</v>
      </c>
      <c r="G23" s="1"/>
      <c r="H23" s="1"/>
      <c r="I23" s="245"/>
      <c r="J23" s="41"/>
      <c r="K23" s="41"/>
      <c r="L23" s="43"/>
      <c r="M23" s="24"/>
      <c r="N23" s="24"/>
      <c r="O23" s="40"/>
      <c r="P23" s="259"/>
      <c r="Q23" s="40"/>
      <c r="R23" s="242"/>
      <c r="S23" s="48"/>
      <c r="T23" s="48"/>
      <c r="U23" s="42"/>
      <c r="V23" s="42"/>
      <c r="W23" s="42"/>
    </row>
    <row r="24" spans="1:23" ht="15">
      <c r="A24" s="140"/>
      <c r="B24" s="156"/>
      <c r="C24" s="184"/>
      <c r="D24" s="185"/>
      <c r="E24" s="184"/>
      <c r="F24" s="185"/>
      <c r="G24" s="1"/>
      <c r="H24" s="1"/>
      <c r="I24" s="41"/>
      <c r="J24" s="41"/>
      <c r="K24" s="41"/>
      <c r="L24" s="43"/>
      <c r="M24" s="24"/>
      <c r="N24" s="24"/>
      <c r="O24" s="24"/>
      <c r="P24" s="259"/>
      <c r="Q24" s="40"/>
      <c r="R24" s="242"/>
      <c r="S24" s="42"/>
      <c r="T24" s="42"/>
      <c r="U24" s="42"/>
      <c r="V24" s="42"/>
      <c r="W24" s="42"/>
    </row>
    <row r="25" spans="1:23" ht="15">
      <c r="A25" s="153" t="s">
        <v>11</v>
      </c>
      <c r="B25" s="141" t="s">
        <v>61</v>
      </c>
      <c r="C25" s="182">
        <v>12.97</v>
      </c>
      <c r="D25" s="183">
        <v>15.3</v>
      </c>
      <c r="E25" s="182">
        <v>12.97</v>
      </c>
      <c r="F25" s="183">
        <v>15.3</v>
      </c>
      <c r="G25" s="1"/>
      <c r="H25" s="1"/>
      <c r="I25" s="41"/>
      <c r="J25" s="41"/>
      <c r="K25" s="41"/>
      <c r="L25" s="43"/>
      <c r="M25" s="24"/>
      <c r="N25" s="24"/>
      <c r="O25" s="45"/>
      <c r="P25" s="164"/>
      <c r="Q25" s="46"/>
      <c r="R25" s="243"/>
      <c r="S25" s="42"/>
      <c r="T25" s="42"/>
      <c r="U25" s="42"/>
      <c r="V25" s="42"/>
      <c r="W25" s="42"/>
    </row>
    <row r="26" spans="1:23" ht="15">
      <c r="A26" s="153"/>
      <c r="B26" s="141"/>
      <c r="C26" s="182"/>
      <c r="D26" s="183"/>
      <c r="E26" s="182"/>
      <c r="F26" s="183"/>
      <c r="G26" s="1"/>
      <c r="H26" s="1"/>
      <c r="I26" s="41"/>
      <c r="J26" s="41"/>
      <c r="K26" s="41"/>
      <c r="L26" s="43"/>
      <c r="M26" s="24"/>
      <c r="N26" s="24"/>
      <c r="O26" s="45"/>
      <c r="P26" s="164"/>
      <c r="Q26" s="46"/>
      <c r="R26" s="243"/>
      <c r="S26" s="42"/>
      <c r="T26" s="42"/>
      <c r="U26" s="42"/>
      <c r="V26" s="42"/>
      <c r="W26" s="42"/>
    </row>
    <row r="27" spans="1:23" ht="15">
      <c r="A27" s="145"/>
      <c r="B27" s="165" t="s">
        <v>66</v>
      </c>
      <c r="C27" s="190">
        <f>5.3*C25</f>
        <v>68.741</v>
      </c>
      <c r="D27" s="191">
        <f>D25*5.3</f>
        <v>81.09</v>
      </c>
      <c r="E27" s="190" t="s">
        <v>5</v>
      </c>
      <c r="F27" s="191" t="s">
        <v>5</v>
      </c>
      <c r="G27" s="1"/>
      <c r="H27" s="1"/>
      <c r="I27" s="41"/>
      <c r="J27" s="41"/>
      <c r="K27" s="41"/>
      <c r="L27" s="39"/>
      <c r="M27" s="24"/>
      <c r="N27" s="24"/>
      <c r="O27" s="24"/>
      <c r="P27" s="24"/>
      <c r="Q27" s="24"/>
      <c r="R27" s="50"/>
      <c r="S27" s="42"/>
      <c r="T27" s="42"/>
      <c r="U27" s="42"/>
      <c r="V27" s="42"/>
      <c r="W27" s="42"/>
    </row>
    <row r="28" spans="1:23" ht="15">
      <c r="A28" s="140"/>
      <c r="B28" s="156"/>
      <c r="C28" s="170"/>
      <c r="D28" s="171"/>
      <c r="E28" s="170"/>
      <c r="F28" s="171"/>
      <c r="G28" s="1"/>
      <c r="H28" s="1"/>
      <c r="I28" s="41"/>
      <c r="J28" s="41"/>
      <c r="K28" s="41"/>
      <c r="L28" s="43"/>
      <c r="M28" s="24"/>
      <c r="N28" s="24"/>
      <c r="O28" s="24"/>
      <c r="P28" s="24"/>
      <c r="Q28" s="24"/>
      <c r="R28" s="50"/>
      <c r="S28" s="42"/>
      <c r="T28" s="42"/>
      <c r="U28" s="42"/>
      <c r="V28" s="42"/>
      <c r="W28" s="42"/>
    </row>
    <row r="29" spans="1:23" ht="15">
      <c r="A29" s="153" t="s">
        <v>12</v>
      </c>
      <c r="B29" s="141" t="s">
        <v>68</v>
      </c>
      <c r="C29" s="168">
        <f>D29/1.18</f>
        <v>25.423728813559322</v>
      </c>
      <c r="D29" s="169">
        <v>30</v>
      </c>
      <c r="E29" s="168"/>
      <c r="F29" s="169"/>
      <c r="G29" s="1"/>
      <c r="H29" s="1"/>
      <c r="I29" s="41"/>
      <c r="J29" s="41"/>
      <c r="K29" s="41"/>
      <c r="L29" s="43"/>
      <c r="M29" s="43"/>
      <c r="N29" s="43"/>
      <c r="O29" s="43"/>
      <c r="P29" s="43"/>
      <c r="Q29" s="43"/>
      <c r="R29" s="42"/>
      <c r="S29" s="42"/>
      <c r="T29" s="42"/>
      <c r="U29" s="42"/>
      <c r="V29" s="42"/>
      <c r="W29" s="42"/>
    </row>
    <row r="30" spans="1:23" ht="15">
      <c r="A30" s="153" t="s">
        <v>13</v>
      </c>
      <c r="B30" s="141"/>
      <c r="C30" s="168"/>
      <c r="D30" s="169"/>
      <c r="E30" s="168"/>
      <c r="F30" s="169"/>
      <c r="G30" s="1"/>
      <c r="H30" s="1"/>
      <c r="I30" s="41"/>
      <c r="J30" s="41"/>
      <c r="K30" s="41"/>
      <c r="L30" s="43"/>
      <c r="M30" s="43"/>
      <c r="N30" s="43"/>
      <c r="O30" s="43"/>
      <c r="P30" s="24"/>
      <c r="Q30" s="40"/>
      <c r="R30" s="42"/>
      <c r="S30" s="42"/>
      <c r="T30" s="42"/>
      <c r="U30" s="42"/>
      <c r="V30" s="42"/>
      <c r="W30" s="42"/>
    </row>
    <row r="31" spans="1:23" ht="15">
      <c r="A31" s="140"/>
      <c r="B31" s="137"/>
      <c r="C31" s="174"/>
      <c r="D31" s="175"/>
      <c r="E31" s="174"/>
      <c r="F31" s="175"/>
      <c r="I31" s="42"/>
      <c r="J31" s="42"/>
      <c r="K31" s="42"/>
      <c r="L31" s="43"/>
      <c r="M31" s="43"/>
      <c r="N31" s="43"/>
      <c r="O31" s="43"/>
      <c r="P31" s="24"/>
      <c r="Q31" s="40"/>
      <c r="R31" s="42"/>
      <c r="S31" s="42"/>
      <c r="T31" s="42"/>
      <c r="U31" s="42"/>
      <c r="V31" s="42"/>
      <c r="W31" s="42"/>
    </row>
    <row r="32" spans="1:23" ht="15">
      <c r="A32" s="153" t="s">
        <v>108</v>
      </c>
      <c r="B32" s="141" t="s">
        <v>57</v>
      </c>
      <c r="C32" s="168">
        <v>7.08</v>
      </c>
      <c r="D32" s="169" t="s">
        <v>5</v>
      </c>
      <c r="E32" s="168" t="s">
        <v>5</v>
      </c>
      <c r="F32" s="169" t="s">
        <v>5</v>
      </c>
      <c r="I32" s="42"/>
      <c r="J32" s="42"/>
      <c r="K32" s="42"/>
      <c r="L32" s="42"/>
      <c r="M32" s="42"/>
      <c r="N32" s="42"/>
      <c r="O32" s="42"/>
      <c r="P32" s="42"/>
      <c r="Q32" s="45"/>
      <c r="R32" s="42"/>
      <c r="S32" s="42"/>
      <c r="T32" s="42"/>
      <c r="U32" s="48"/>
      <c r="V32" s="42"/>
      <c r="W32" s="42"/>
    </row>
    <row r="33" spans="1:23" ht="14.25">
      <c r="A33" s="145"/>
      <c r="B33" s="166"/>
      <c r="C33" s="162"/>
      <c r="D33" s="163"/>
      <c r="E33" s="162"/>
      <c r="F33" s="163"/>
      <c r="I33" s="42"/>
      <c r="J33" s="42"/>
      <c r="K33" s="42"/>
      <c r="L33" s="42"/>
      <c r="M33" s="42"/>
      <c r="N33" s="42"/>
      <c r="O33" s="42"/>
      <c r="P33" s="42"/>
      <c r="Q33" s="24"/>
      <c r="R33" s="42"/>
      <c r="S33" s="42"/>
      <c r="T33" s="42"/>
      <c r="U33" s="42"/>
      <c r="V33" s="42"/>
      <c r="W33" s="42"/>
    </row>
    <row r="34" spans="9:23" ht="12.75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9:23" ht="12.75">
      <c r="I35" s="42"/>
      <c r="J35" s="42"/>
      <c r="K35" s="42"/>
      <c r="L35" s="24"/>
      <c r="M35" s="42"/>
      <c r="N35" s="24"/>
      <c r="O35" s="43"/>
      <c r="P35" s="43"/>
      <c r="Q35" s="43"/>
      <c r="R35" s="42"/>
      <c r="S35" s="42"/>
      <c r="T35" s="42"/>
      <c r="U35" s="42"/>
      <c r="V35" s="42"/>
      <c r="W35" s="42"/>
    </row>
    <row r="36" spans="1:23" ht="15">
      <c r="A36" s="1"/>
      <c r="B36" s="136" t="s">
        <v>62</v>
      </c>
      <c r="C36" s="1"/>
      <c r="D36" s="1"/>
      <c r="E36" s="1"/>
      <c r="F36" s="1"/>
      <c r="I36" s="50"/>
      <c r="J36" s="42"/>
      <c r="K36" s="42"/>
      <c r="L36" s="42"/>
      <c r="M36" s="42"/>
      <c r="N36" s="24"/>
      <c r="O36" s="43"/>
      <c r="P36" s="43"/>
      <c r="Q36" s="43"/>
      <c r="R36" s="42"/>
      <c r="S36" s="42"/>
      <c r="T36" s="42"/>
      <c r="U36" s="42"/>
      <c r="V36" s="42"/>
      <c r="W36" s="42"/>
    </row>
    <row r="37" spans="1:23" ht="15">
      <c r="A37" s="1"/>
      <c r="B37" s="136"/>
      <c r="C37" s="1"/>
      <c r="D37" s="1"/>
      <c r="E37" s="1"/>
      <c r="F37" s="1"/>
      <c r="I37" s="42"/>
      <c r="J37" s="42"/>
      <c r="K37" s="42"/>
      <c r="L37" s="24"/>
      <c r="M37" s="52"/>
      <c r="N37" s="24"/>
      <c r="O37" s="43"/>
      <c r="P37" s="43"/>
      <c r="Q37" s="52"/>
      <c r="R37" s="42"/>
      <c r="S37" s="42"/>
      <c r="T37" s="42"/>
      <c r="U37" s="42"/>
      <c r="V37" s="42"/>
      <c r="W37" s="42"/>
    </row>
    <row r="38" spans="1:23" ht="14.25">
      <c r="A38" s="137"/>
      <c r="B38" s="138"/>
      <c r="C38" s="139"/>
      <c r="D38" s="139"/>
      <c r="E38" s="140"/>
      <c r="F38" s="138"/>
      <c r="I38" s="26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ht="15">
      <c r="A39" s="141" t="s">
        <v>56</v>
      </c>
      <c r="B39" s="142"/>
      <c r="C39" s="579" t="s">
        <v>55</v>
      </c>
      <c r="D39" s="579"/>
      <c r="E39" s="580" t="s">
        <v>63</v>
      </c>
      <c r="F39" s="617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1:23" ht="14.25">
      <c r="A40" s="143"/>
      <c r="B40" s="142"/>
      <c r="C40" s="144"/>
      <c r="D40" s="144"/>
      <c r="E40" s="145"/>
      <c r="F40" s="146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1:23" ht="14.25">
      <c r="A41" s="143"/>
      <c r="B41" s="142"/>
      <c r="C41" s="147"/>
      <c r="D41" s="148"/>
      <c r="E41" s="140"/>
      <c r="F41" s="137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ht="15">
      <c r="A42" s="149"/>
      <c r="B42" s="146"/>
      <c r="C42" s="150" t="s">
        <v>52</v>
      </c>
      <c r="D42" s="151" t="s">
        <v>53</v>
      </c>
      <c r="E42" s="152" t="s">
        <v>52</v>
      </c>
      <c r="F42" s="151" t="s">
        <v>53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ht="14.25">
      <c r="A43" s="140"/>
      <c r="B43" s="137"/>
      <c r="C43" s="139"/>
      <c r="D43" s="137"/>
      <c r="E43" s="139"/>
      <c r="F43" s="137"/>
      <c r="I43" s="223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1:23" ht="15">
      <c r="A44" s="153" t="s">
        <v>2</v>
      </c>
      <c r="B44" s="141" t="s">
        <v>64</v>
      </c>
      <c r="C44" s="168">
        <v>1.25</v>
      </c>
      <c r="D44" s="169">
        <v>1.48</v>
      </c>
      <c r="E44" s="168">
        <v>12.66</v>
      </c>
      <c r="F44" s="169">
        <f>12.66*1.18</f>
        <v>14.938799999999999</v>
      </c>
      <c r="I44" s="223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1:23" ht="15">
      <c r="A45" s="153"/>
      <c r="B45" s="141"/>
      <c r="C45" s="168"/>
      <c r="D45" s="169"/>
      <c r="E45" s="168"/>
      <c r="F45" s="169"/>
      <c r="I45" s="223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 ht="15">
      <c r="A46" s="140"/>
      <c r="B46" s="156"/>
      <c r="C46" s="170"/>
      <c r="D46" s="171"/>
      <c r="E46" s="170"/>
      <c r="F46" s="171"/>
      <c r="I46" s="223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1:23" ht="15">
      <c r="A47" s="153" t="s">
        <v>69</v>
      </c>
      <c r="B47" s="141" t="s">
        <v>58</v>
      </c>
      <c r="C47" s="168">
        <v>454.45</v>
      </c>
      <c r="D47" s="169" t="s">
        <v>5</v>
      </c>
      <c r="E47" s="168">
        <v>5615</v>
      </c>
      <c r="F47" s="169">
        <f>5615*1.18</f>
        <v>6625.7</v>
      </c>
      <c r="I47" s="223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5">
      <c r="A48" s="153"/>
      <c r="B48" s="141"/>
      <c r="C48" s="168"/>
      <c r="D48" s="169"/>
      <c r="E48" s="168"/>
      <c r="F48" s="169"/>
      <c r="I48" s="223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49" spans="1:23" ht="15">
      <c r="A49" s="153"/>
      <c r="B49" s="141" t="s">
        <v>57</v>
      </c>
      <c r="C49" s="168">
        <v>18.18</v>
      </c>
      <c r="D49" s="169">
        <f>18.18*1.18</f>
        <v>21.452399999999997</v>
      </c>
      <c r="E49" s="168" t="s">
        <v>5</v>
      </c>
      <c r="F49" s="169" t="s">
        <v>5</v>
      </c>
      <c r="I49" s="223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</row>
    <row r="50" spans="1:23" ht="15">
      <c r="A50" s="140"/>
      <c r="B50" s="156"/>
      <c r="C50" s="170"/>
      <c r="D50" s="171"/>
      <c r="E50" s="170"/>
      <c r="F50" s="17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</row>
    <row r="51" spans="1:23" ht="15">
      <c r="A51" s="153" t="s">
        <v>16</v>
      </c>
      <c r="B51" s="141" t="s">
        <v>65</v>
      </c>
      <c r="C51" s="168">
        <f>46.31*1.25</f>
        <v>57.8875</v>
      </c>
      <c r="D51" s="169">
        <f>57.89*1.18</f>
        <v>68.3102</v>
      </c>
      <c r="E51" s="168">
        <v>433</v>
      </c>
      <c r="F51" s="169">
        <f>433*1.18</f>
        <v>510.94</v>
      </c>
      <c r="I51" s="26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</row>
    <row r="52" spans="1:23" ht="15">
      <c r="A52" s="153"/>
      <c r="B52" s="159"/>
      <c r="C52" s="168"/>
      <c r="D52" s="169"/>
      <c r="E52" s="168"/>
      <c r="F52" s="169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  <row r="53" spans="1:23" ht="15">
      <c r="A53" s="153"/>
      <c r="B53" s="160" t="s">
        <v>54</v>
      </c>
      <c r="C53" s="168">
        <f>57.89*3.8</f>
        <v>219.982</v>
      </c>
      <c r="D53" s="169">
        <f>68.31*3.8</f>
        <v>259.578</v>
      </c>
      <c r="E53" s="168" t="s">
        <v>5</v>
      </c>
      <c r="F53" s="169" t="s">
        <v>5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1:23" ht="15">
      <c r="A54" s="140"/>
      <c r="B54" s="156"/>
      <c r="C54" s="157"/>
      <c r="D54" s="158"/>
      <c r="E54" s="626" t="s">
        <v>60</v>
      </c>
      <c r="F54" s="623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</row>
    <row r="55" spans="1:23" ht="15">
      <c r="A55" s="153" t="s">
        <v>17</v>
      </c>
      <c r="B55" s="141" t="s">
        <v>65</v>
      </c>
      <c r="C55" s="168">
        <v>145.88</v>
      </c>
      <c r="D55" s="169">
        <f>1.18*145.88</f>
        <v>172.1384</v>
      </c>
      <c r="E55" s="168">
        <v>769.9</v>
      </c>
      <c r="F55" s="169">
        <f>1.18*E55</f>
        <v>908.482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</row>
    <row r="56" spans="1:23" ht="15">
      <c r="A56" s="153" t="s">
        <v>67</v>
      </c>
      <c r="B56" s="159"/>
      <c r="C56" s="154"/>
      <c r="D56" s="155"/>
      <c r="E56" s="627" t="s">
        <v>10</v>
      </c>
      <c r="F56" s="625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</row>
    <row r="57" spans="1:23" ht="15.75">
      <c r="A57" s="161"/>
      <c r="B57" s="160" t="s">
        <v>59</v>
      </c>
      <c r="C57" s="168">
        <f>1.52*145.88</f>
        <v>221.7376</v>
      </c>
      <c r="D57" s="169">
        <f>D55*1.52</f>
        <v>261.650368</v>
      </c>
      <c r="E57" s="168">
        <v>460.27</v>
      </c>
      <c r="F57" s="169">
        <f>460.27*1.18</f>
        <v>543.1185999999999</v>
      </c>
      <c r="I57" s="42"/>
      <c r="J57" s="42"/>
      <c r="K57" s="42"/>
      <c r="L57" s="43"/>
      <c r="M57" s="43"/>
      <c r="N57" s="42"/>
      <c r="O57" s="42"/>
      <c r="P57" s="42"/>
      <c r="Q57" s="42"/>
      <c r="R57" s="42"/>
      <c r="S57" s="42"/>
      <c r="T57" s="42"/>
      <c r="U57" s="42"/>
      <c r="V57" s="42"/>
      <c r="W57" s="42"/>
    </row>
    <row r="58" spans="1:23" ht="15">
      <c r="A58" s="140"/>
      <c r="B58" s="156"/>
      <c r="C58" s="170"/>
      <c r="D58" s="171"/>
      <c r="E58" s="170"/>
      <c r="F58" s="171"/>
      <c r="I58" s="42"/>
      <c r="J58" s="42"/>
      <c r="K58" s="42"/>
      <c r="L58" s="42"/>
      <c r="M58" s="42"/>
      <c r="N58" s="43"/>
      <c r="O58" s="42"/>
      <c r="P58" s="42"/>
      <c r="Q58" s="42"/>
      <c r="R58" s="42"/>
      <c r="S58" s="42"/>
      <c r="T58" s="42"/>
      <c r="U58" s="42"/>
      <c r="V58" s="42"/>
      <c r="W58" s="42"/>
    </row>
    <row r="59" spans="1:23" ht="15">
      <c r="A59" s="153" t="s">
        <v>11</v>
      </c>
      <c r="B59" s="141" t="s">
        <v>61</v>
      </c>
      <c r="C59" s="168">
        <v>10.25</v>
      </c>
      <c r="D59" s="169">
        <f>1.18*10.25</f>
        <v>12.094999999999999</v>
      </c>
      <c r="E59" s="168">
        <v>10.25</v>
      </c>
      <c r="F59" s="169">
        <v>12.1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ht="15">
      <c r="A60" s="153"/>
      <c r="B60" s="141"/>
      <c r="C60" s="168"/>
      <c r="D60" s="169"/>
      <c r="E60" s="168"/>
      <c r="F60" s="169"/>
      <c r="G60" s="27"/>
      <c r="H60" s="27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1:23" ht="15">
      <c r="A61" s="145"/>
      <c r="B61" s="165" t="s">
        <v>66</v>
      </c>
      <c r="C61" s="172">
        <f>5.3*C59</f>
        <v>54.324999999999996</v>
      </c>
      <c r="D61" s="173">
        <f>1.18*54.33</f>
        <v>64.1094</v>
      </c>
      <c r="E61" s="172" t="s">
        <v>5</v>
      </c>
      <c r="F61" s="173" t="s">
        <v>5</v>
      </c>
      <c r="G61" s="27"/>
      <c r="H61" s="27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1:23" ht="15">
      <c r="A62" s="140"/>
      <c r="B62" s="156"/>
      <c r="C62" s="170"/>
      <c r="D62" s="171"/>
      <c r="E62" s="170"/>
      <c r="F62" s="171"/>
      <c r="G62" s="27"/>
      <c r="H62" s="27"/>
      <c r="I62" s="42"/>
      <c r="J62" s="42"/>
      <c r="K62" s="42"/>
      <c r="L62" s="24"/>
      <c r="M62" s="24"/>
      <c r="N62" s="44"/>
      <c r="O62" s="24"/>
      <c r="P62" s="24"/>
      <c r="Q62" s="24"/>
      <c r="R62" s="43"/>
      <c r="S62" s="42"/>
      <c r="T62" s="42"/>
      <c r="U62" s="42"/>
      <c r="V62" s="42"/>
      <c r="W62" s="42"/>
    </row>
    <row r="63" spans="1:23" ht="15">
      <c r="A63" s="153" t="s">
        <v>12</v>
      </c>
      <c r="B63" s="141" t="s">
        <v>68</v>
      </c>
      <c r="C63" s="168"/>
      <c r="D63" s="169"/>
      <c r="E63" s="168"/>
      <c r="F63" s="169"/>
      <c r="G63" s="15"/>
      <c r="H63" s="15"/>
      <c r="I63" s="42"/>
      <c r="J63" s="42"/>
      <c r="K63" s="42"/>
      <c r="L63" s="43"/>
      <c r="M63" s="43"/>
      <c r="N63" s="43"/>
      <c r="O63" s="43"/>
      <c r="P63" s="24"/>
      <c r="Q63" s="24"/>
      <c r="R63" s="24"/>
      <c r="S63" s="42"/>
      <c r="T63" s="42"/>
      <c r="U63" s="42"/>
      <c r="V63" s="42"/>
      <c r="W63" s="42"/>
    </row>
    <row r="64" spans="1:23" ht="15">
      <c r="A64" s="153" t="s">
        <v>13</v>
      </c>
      <c r="B64" s="141"/>
      <c r="C64" s="168"/>
      <c r="D64" s="169"/>
      <c r="E64" s="168"/>
      <c r="F64" s="169"/>
      <c r="G64" s="15"/>
      <c r="H64" s="15"/>
      <c r="I64" s="42"/>
      <c r="J64" s="42"/>
      <c r="K64" s="42"/>
      <c r="L64" s="42"/>
      <c r="M64" s="42"/>
      <c r="N64" s="24"/>
      <c r="O64" s="24"/>
      <c r="P64" s="24"/>
      <c r="Q64" s="24"/>
      <c r="R64" s="43"/>
      <c r="S64" s="42"/>
      <c r="T64" s="42"/>
      <c r="U64" s="42"/>
      <c r="V64" s="42"/>
      <c r="W64" s="42"/>
    </row>
    <row r="65" spans="1:23" ht="15">
      <c r="A65" s="140"/>
      <c r="B65" s="137"/>
      <c r="C65" s="174"/>
      <c r="D65" s="175"/>
      <c r="E65" s="174"/>
      <c r="F65" s="175"/>
      <c r="G65" s="15"/>
      <c r="H65" s="15"/>
      <c r="I65" s="42"/>
      <c r="J65" s="42"/>
      <c r="K65" s="42"/>
      <c r="L65" s="43"/>
      <c r="M65" s="43"/>
      <c r="N65" s="24"/>
      <c r="O65" s="24"/>
      <c r="P65" s="24"/>
      <c r="Q65" s="24"/>
      <c r="R65" s="42"/>
      <c r="S65" s="42"/>
      <c r="T65" s="42"/>
      <c r="U65" s="42"/>
      <c r="V65" s="42"/>
      <c r="W65" s="42"/>
    </row>
    <row r="66" spans="1:23" ht="15">
      <c r="A66" s="153" t="s">
        <v>14</v>
      </c>
      <c r="B66" s="141" t="s">
        <v>57</v>
      </c>
      <c r="C66" s="168">
        <v>6.96</v>
      </c>
      <c r="D66" s="169" t="s">
        <v>5</v>
      </c>
      <c r="E66" s="168" t="s">
        <v>5</v>
      </c>
      <c r="F66" s="169" t="s">
        <v>5</v>
      </c>
      <c r="G66" s="15"/>
      <c r="H66" s="15"/>
      <c r="I66" s="263"/>
      <c r="J66" s="42"/>
      <c r="K66" s="42"/>
      <c r="L66" s="43"/>
      <c r="M66" s="43"/>
      <c r="N66" s="24"/>
      <c r="O66" s="40"/>
      <c r="P66" s="24"/>
      <c r="Q66" s="40"/>
      <c r="R66" s="242"/>
      <c r="S66" s="42"/>
      <c r="T66" s="42"/>
      <c r="U66" s="42"/>
      <c r="V66" s="42"/>
      <c r="W66" s="42"/>
    </row>
    <row r="67" spans="1:23" ht="12.75">
      <c r="A67" s="10"/>
      <c r="B67" s="10"/>
      <c r="C67" s="31"/>
      <c r="D67" s="31"/>
      <c r="E67" s="31"/>
      <c r="F67" s="31"/>
      <c r="G67" s="31"/>
      <c r="H67" s="31"/>
      <c r="I67" s="263"/>
      <c r="J67" s="42"/>
      <c r="K67" s="42"/>
      <c r="L67" s="39"/>
      <c r="M67" s="43"/>
      <c r="N67" s="24"/>
      <c r="O67" s="45"/>
      <c r="P67" s="39"/>
      <c r="Q67" s="46"/>
      <c r="R67" s="243"/>
      <c r="S67" s="42"/>
      <c r="T67" s="42"/>
      <c r="U67" s="42"/>
      <c r="V67" s="42"/>
      <c r="W67" s="42"/>
    </row>
    <row r="68" spans="1:23" ht="12.75">
      <c r="A68" s="80"/>
      <c r="B68" s="80"/>
      <c r="C68" s="80"/>
      <c r="D68" s="80"/>
      <c r="E68" s="80"/>
      <c r="F68" s="80"/>
      <c r="G68" s="80"/>
      <c r="H68" s="80"/>
      <c r="I68" s="42"/>
      <c r="J68" s="53"/>
      <c r="K68" s="42"/>
      <c r="L68" s="43"/>
      <c r="M68" s="24"/>
      <c r="N68" s="40"/>
      <c r="O68" s="40"/>
      <c r="P68" s="24"/>
      <c r="Q68" s="24"/>
      <c r="R68" s="242"/>
      <c r="S68" s="42"/>
      <c r="T68" s="42"/>
      <c r="U68" s="42"/>
      <c r="V68" s="42"/>
      <c r="W68" s="42"/>
    </row>
    <row r="69" spans="9:23" ht="12.75">
      <c r="I69" s="42"/>
      <c r="J69" s="54"/>
      <c r="K69" s="53"/>
      <c r="L69" s="39"/>
      <c r="M69" s="24"/>
      <c r="N69" s="24"/>
      <c r="O69" s="45"/>
      <c r="P69" s="39"/>
      <c r="Q69" s="45"/>
      <c r="R69" s="243"/>
      <c r="S69" s="42"/>
      <c r="T69" s="42"/>
      <c r="U69" s="42"/>
      <c r="V69" s="42"/>
      <c r="W69" s="42"/>
    </row>
    <row r="70" spans="9:23" ht="12.75">
      <c r="I70" s="42"/>
      <c r="J70" s="42"/>
      <c r="K70" s="42"/>
      <c r="L70" s="43"/>
      <c r="M70" s="24"/>
      <c r="N70" s="24"/>
      <c r="O70" s="40"/>
      <c r="P70" s="24"/>
      <c r="Q70" s="40"/>
      <c r="R70" s="242"/>
      <c r="S70" s="42"/>
      <c r="T70" s="42"/>
      <c r="U70" s="42"/>
      <c r="V70" s="42"/>
      <c r="W70" s="42"/>
    </row>
    <row r="71" spans="9:23" ht="12.75">
      <c r="I71" s="264"/>
      <c r="J71" s="265"/>
      <c r="K71" s="42"/>
      <c r="L71" s="39"/>
      <c r="M71" s="24"/>
      <c r="N71" s="24"/>
      <c r="O71" s="45"/>
      <c r="P71" s="39"/>
      <c r="Q71" s="46"/>
      <c r="R71" s="243"/>
      <c r="S71" s="42"/>
      <c r="T71" s="42"/>
      <c r="U71" s="42"/>
      <c r="V71" s="42"/>
      <c r="W71" s="42"/>
    </row>
    <row r="72" spans="9:23" ht="12.75">
      <c r="I72" s="42"/>
      <c r="J72" s="42"/>
      <c r="K72" s="42"/>
      <c r="L72" s="43"/>
      <c r="M72" s="24"/>
      <c r="N72" s="24"/>
      <c r="O72" s="40"/>
      <c r="P72" s="24"/>
      <c r="Q72" s="40"/>
      <c r="R72" s="242"/>
      <c r="S72" s="42"/>
      <c r="T72" s="42"/>
      <c r="U72" s="42"/>
      <c r="V72" s="42"/>
      <c r="W72" s="42"/>
    </row>
    <row r="73" spans="1:23" ht="12.75">
      <c r="A73" s="4"/>
      <c r="B73" s="15"/>
      <c r="I73" s="50"/>
      <c r="J73" s="50"/>
      <c r="K73" s="42"/>
      <c r="L73" s="39"/>
      <c r="M73" s="24"/>
      <c r="N73" s="24"/>
      <c r="O73" s="45"/>
      <c r="P73" s="24"/>
      <c r="Q73" s="46"/>
      <c r="R73" s="243"/>
      <c r="S73" s="42"/>
      <c r="T73" s="42"/>
      <c r="U73" s="42"/>
      <c r="V73" s="42"/>
      <c r="W73" s="42"/>
    </row>
    <row r="74" spans="1:23" ht="12.75">
      <c r="A74" s="4"/>
      <c r="I74" s="42"/>
      <c r="J74" s="42"/>
      <c r="K74" s="42"/>
      <c r="L74" s="43"/>
      <c r="M74" s="24"/>
      <c r="N74" s="24"/>
      <c r="O74" s="40"/>
      <c r="P74" s="24"/>
      <c r="Q74" s="40"/>
      <c r="R74" s="242"/>
      <c r="S74" s="42"/>
      <c r="T74" s="42"/>
      <c r="U74" s="42"/>
      <c r="V74" s="42"/>
      <c r="W74" s="42"/>
    </row>
    <row r="75" spans="9:23" ht="12.75">
      <c r="I75" s="42"/>
      <c r="J75" s="53"/>
      <c r="K75" s="42"/>
      <c r="L75" s="39"/>
      <c r="M75" s="24"/>
      <c r="N75" s="24"/>
      <c r="O75" s="45"/>
      <c r="P75" s="24"/>
      <c r="Q75" s="45"/>
      <c r="R75" s="243"/>
      <c r="S75" s="42"/>
      <c r="T75" s="42"/>
      <c r="U75" s="42"/>
      <c r="V75" s="42"/>
      <c r="W75" s="42"/>
    </row>
    <row r="76" spans="9:18" ht="12.75">
      <c r="I76" s="12"/>
      <c r="J76" s="12"/>
      <c r="K76" s="12"/>
      <c r="L76" s="18"/>
      <c r="M76" s="38"/>
      <c r="N76" s="24"/>
      <c r="O76" s="24"/>
      <c r="P76" s="24"/>
      <c r="Q76" s="40"/>
      <c r="R76" s="242"/>
    </row>
    <row r="77" spans="9:18" ht="12.75">
      <c r="I77" s="12"/>
      <c r="J77" s="12"/>
      <c r="K77" s="12"/>
      <c r="L77" s="18"/>
      <c r="M77" s="38"/>
      <c r="N77" s="24"/>
      <c r="O77" s="45"/>
      <c r="P77" s="24"/>
      <c r="Q77" s="46"/>
      <c r="R77" s="243"/>
    </row>
    <row r="78" spans="9:18" ht="12.75">
      <c r="I78" s="12"/>
      <c r="J78" s="12"/>
      <c r="K78" s="12"/>
      <c r="L78" s="257"/>
      <c r="M78" s="38"/>
      <c r="N78" s="24"/>
      <c r="O78" s="24"/>
      <c r="P78" s="24"/>
      <c r="Q78" s="24"/>
      <c r="R78" s="71"/>
    </row>
    <row r="79" spans="9:18" ht="12.75">
      <c r="I79" s="12"/>
      <c r="J79" s="12"/>
      <c r="K79" s="12"/>
      <c r="L79" s="18"/>
      <c r="M79" s="38"/>
      <c r="N79" s="24"/>
      <c r="O79" s="24"/>
      <c r="P79" s="24"/>
      <c r="Q79" s="24"/>
      <c r="R79" s="71"/>
    </row>
    <row r="80" spans="9:18" ht="12.75">
      <c r="I80" s="12"/>
      <c r="J80" s="12"/>
      <c r="K80" s="12"/>
      <c r="L80" s="18"/>
      <c r="M80" s="18"/>
      <c r="N80" s="18"/>
      <c r="O80" s="18"/>
      <c r="P80" s="18"/>
      <c r="Q80" s="18"/>
      <c r="R80" s="12"/>
    </row>
    <row r="81" spans="9:18" ht="12.75">
      <c r="I81" s="12"/>
      <c r="J81" s="12"/>
      <c r="K81" s="12"/>
      <c r="L81" s="18"/>
      <c r="M81" s="18"/>
      <c r="N81" s="18"/>
      <c r="O81" s="18"/>
      <c r="P81" s="38"/>
      <c r="Q81" s="22"/>
      <c r="R81" s="12"/>
    </row>
    <row r="82" spans="9:18" ht="12.75">
      <c r="I82" s="12"/>
      <c r="J82" s="12"/>
      <c r="K82" s="12"/>
      <c r="L82" s="18"/>
      <c r="M82" s="18"/>
      <c r="N82" s="18"/>
      <c r="O82" s="18"/>
      <c r="P82" s="258"/>
      <c r="Q82" s="258"/>
      <c r="R82" s="12"/>
    </row>
    <row r="83" spans="9:18" ht="12.75">
      <c r="I83" s="12"/>
      <c r="J83" s="12"/>
      <c r="K83" s="12"/>
      <c r="L83" s="18"/>
      <c r="M83" s="18"/>
      <c r="N83" s="18"/>
      <c r="O83" s="18"/>
      <c r="P83" s="38"/>
      <c r="Q83" s="22"/>
      <c r="R83" s="12"/>
    </row>
    <row r="84" spans="9:18" ht="12.75">
      <c r="I84" s="12"/>
      <c r="J84" s="12"/>
      <c r="K84" s="12"/>
      <c r="L84" s="12"/>
      <c r="M84" s="12"/>
      <c r="N84" s="12"/>
      <c r="O84" s="12"/>
      <c r="P84" s="12"/>
      <c r="Q84" s="23"/>
      <c r="R84" s="12"/>
    </row>
    <row r="85" spans="9:18" ht="12.75">
      <c r="I85" s="12"/>
      <c r="J85" s="12"/>
      <c r="K85" s="12"/>
      <c r="L85" s="12"/>
      <c r="M85" s="12"/>
      <c r="N85" s="12"/>
      <c r="O85" s="12"/>
      <c r="P85" s="12"/>
      <c r="Q85" s="38"/>
      <c r="R85" s="12"/>
    </row>
    <row r="86" spans="9:18" ht="12.75">
      <c r="I86" s="12"/>
      <c r="J86" s="12"/>
      <c r="K86" s="12"/>
      <c r="L86" s="12"/>
      <c r="M86" s="12"/>
      <c r="N86" s="12"/>
      <c r="O86" s="12"/>
      <c r="P86" s="12"/>
      <c r="Q86" s="38"/>
      <c r="R86" s="12"/>
    </row>
    <row r="87" spans="9:18" ht="12.75"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9:18" ht="12.75">
      <c r="I88" s="12"/>
      <c r="J88" s="12"/>
      <c r="K88" s="12"/>
      <c r="L88" s="38"/>
      <c r="M88" s="12"/>
      <c r="N88" s="38"/>
      <c r="O88" s="18"/>
      <c r="P88" s="18"/>
      <c r="Q88" s="18"/>
      <c r="R88" s="12"/>
    </row>
    <row r="89" spans="9:18" ht="12.75">
      <c r="I89" s="12"/>
      <c r="J89" s="12"/>
      <c r="K89" s="12"/>
      <c r="L89" s="12"/>
      <c r="M89" s="12"/>
      <c r="N89" s="38"/>
      <c r="O89" s="18"/>
      <c r="P89" s="18"/>
      <c r="Q89" s="18"/>
      <c r="R89" s="12"/>
    </row>
    <row r="90" spans="9:18" ht="12.75">
      <c r="I90" s="12"/>
      <c r="J90" s="12"/>
      <c r="K90" s="12"/>
      <c r="L90" s="38"/>
      <c r="M90" s="219"/>
      <c r="N90" s="38"/>
      <c r="O90" s="18"/>
      <c r="P90" s="18"/>
      <c r="Q90" s="219"/>
      <c r="R90" s="12"/>
    </row>
    <row r="91" spans="9:18" ht="12.75"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9:18" ht="12.75"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9:18" ht="12.75"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9:18" ht="12.75"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9:18" ht="12.75"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9:18" ht="12.75"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9:18" ht="12.75"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9:18" ht="12.75"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9:18" ht="12.75"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9:18" ht="12.75"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9:18" ht="12.75"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9:18" ht="12.75"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9:18" ht="12.75"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9:18" ht="12.75"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9:18" ht="12.75"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11" spans="1:1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"/>
      <c r="C123" s="1"/>
      <c r="D123" s="1"/>
      <c r="E123" s="1"/>
      <c r="F123" s="1"/>
      <c r="G123" s="1"/>
      <c r="H123" s="1"/>
      <c r="I123" s="33"/>
      <c r="J123" s="1"/>
      <c r="K123" s="1"/>
    </row>
    <row r="124" spans="1:11" ht="14.25">
      <c r="A124" s="1"/>
      <c r="B124" s="1"/>
      <c r="C124" s="1"/>
      <c r="D124" s="1"/>
      <c r="E124" s="1"/>
      <c r="F124" s="1"/>
      <c r="G124" s="1"/>
      <c r="H124" s="1"/>
      <c r="I124" s="34"/>
      <c r="J124" s="1"/>
      <c r="K124" s="1"/>
    </row>
    <row r="125" spans="1:11" ht="14.25">
      <c r="A125" s="1"/>
      <c r="B125" s="1"/>
      <c r="C125" s="1"/>
      <c r="D125" s="1"/>
      <c r="E125" s="1"/>
      <c r="F125" s="1"/>
      <c r="G125" s="1"/>
      <c r="H125" s="1"/>
      <c r="I125" s="34"/>
      <c r="J125" s="1"/>
      <c r="K125" s="1"/>
    </row>
    <row r="126" spans="1:11" ht="14.25">
      <c r="A126" s="1"/>
      <c r="B126" s="1"/>
      <c r="C126" s="1"/>
      <c r="D126" s="1"/>
      <c r="E126" s="1"/>
      <c r="F126" s="1"/>
      <c r="G126" s="1"/>
      <c r="H126" s="1"/>
      <c r="I126" s="33"/>
      <c r="J126" s="1"/>
      <c r="K126" s="1"/>
    </row>
    <row r="127" spans="1:11" ht="14.25">
      <c r="A127" s="1"/>
      <c r="B127" s="1"/>
      <c r="C127" s="1"/>
      <c r="D127" s="1"/>
      <c r="E127" s="1"/>
      <c r="F127" s="1"/>
      <c r="G127" s="1"/>
      <c r="H127" s="1"/>
      <c r="I127" s="33"/>
      <c r="J127" s="1"/>
      <c r="K127" s="1"/>
    </row>
    <row r="128" spans="1:11" ht="14.25">
      <c r="A128" s="3"/>
      <c r="B128" s="1"/>
      <c r="C128" s="1"/>
      <c r="D128" s="1"/>
      <c r="E128" s="1"/>
      <c r="F128" s="1"/>
      <c r="G128" s="1"/>
      <c r="H128" s="1"/>
      <c r="I128" s="35"/>
      <c r="J128" s="1"/>
      <c r="K128" s="1"/>
    </row>
    <row r="129" spans="1:11" ht="14.25">
      <c r="A129" s="1"/>
      <c r="B129" s="1"/>
      <c r="C129" s="1"/>
      <c r="D129" s="1"/>
      <c r="E129" s="1"/>
      <c r="F129" s="1"/>
      <c r="G129" s="1"/>
      <c r="H129" s="1"/>
      <c r="I129" s="33"/>
      <c r="J129" s="1"/>
      <c r="K129" s="1"/>
    </row>
    <row r="130" spans="1:11" ht="14.25">
      <c r="A130" s="3"/>
      <c r="B130" s="1"/>
      <c r="C130" s="1"/>
      <c r="D130" s="1"/>
      <c r="E130" s="1"/>
      <c r="F130" s="1"/>
      <c r="G130" s="1"/>
      <c r="H130" s="1"/>
      <c r="I130" s="36"/>
      <c r="J130" s="1"/>
      <c r="K130" s="1"/>
    </row>
    <row r="131" spans="1:11" ht="14.25">
      <c r="A131" s="32"/>
      <c r="B131" s="1"/>
      <c r="C131" s="1"/>
      <c r="D131" s="1"/>
      <c r="E131" s="1"/>
      <c r="F131" s="1"/>
      <c r="G131" s="1"/>
      <c r="H131" s="1"/>
      <c r="I131" s="33"/>
      <c r="J131" s="1"/>
      <c r="K131" s="1"/>
    </row>
    <row r="132" spans="1:11" ht="14.25">
      <c r="A132" s="1"/>
      <c r="B132" s="1"/>
      <c r="C132" s="1"/>
      <c r="D132" s="1"/>
      <c r="E132" s="1"/>
      <c r="F132" s="1"/>
      <c r="G132" s="1"/>
      <c r="H132" s="1"/>
      <c r="I132" s="33"/>
      <c r="J132" s="1"/>
      <c r="K132" s="1"/>
    </row>
    <row r="133" spans="1:11" ht="14.25">
      <c r="A133" s="3"/>
      <c r="B133" s="3"/>
      <c r="C133" s="1"/>
      <c r="D133" s="1"/>
      <c r="E133" s="1"/>
      <c r="F133" s="1"/>
      <c r="G133" s="1"/>
      <c r="H133" s="1"/>
      <c r="I133" s="33"/>
      <c r="J133" s="1"/>
      <c r="K133" s="1"/>
    </row>
    <row r="134" spans="1:11" ht="14.25">
      <c r="A134" s="3"/>
      <c r="B134" s="3"/>
      <c r="C134" s="1"/>
      <c r="D134" s="1"/>
      <c r="E134" s="1"/>
      <c r="F134" s="1"/>
      <c r="G134" s="1"/>
      <c r="H134" s="1"/>
      <c r="I134" s="3"/>
      <c r="J134" s="1"/>
      <c r="K134" s="1"/>
    </row>
    <row r="135" spans="1:1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9" spans="1:10" ht="14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64" spans="1:11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1:11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1:11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1:11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1:11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1:11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1:11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</sheetData>
  <sheetProtection/>
  <mergeCells count="8">
    <mergeCell ref="C39:D39"/>
    <mergeCell ref="E39:F39"/>
    <mergeCell ref="E54:F54"/>
    <mergeCell ref="E56:F56"/>
    <mergeCell ref="E5:F5"/>
    <mergeCell ref="C5:D5"/>
    <mergeCell ref="E22:F22"/>
    <mergeCell ref="E20:F20"/>
  </mergeCells>
  <printOptions/>
  <pageMargins left="1.25" right="1.18" top="0.984251968503937" bottom="0.6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2013-01-14T13:36:59Z</cp:lastPrinted>
  <dcterms:created xsi:type="dcterms:W3CDTF">1996-10-08T23:32:33Z</dcterms:created>
  <dcterms:modified xsi:type="dcterms:W3CDTF">2014-08-26T05:24:38Z</dcterms:modified>
  <cp:category/>
  <cp:version/>
  <cp:contentType/>
  <cp:contentStatus/>
</cp:coreProperties>
</file>